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jennifer_herner-thogmartin@fws.gov\Documents\USFW work\IMP\Sean_Josh\Whittlesey\tools\"/>
    </mc:Choice>
  </mc:AlternateContent>
  <bookViews>
    <workbookView xWindow="0" yWindow="0" windowWidth="19200" windowHeight="11580" tabRatio="778"/>
  </bookViews>
  <sheets>
    <sheet name="annual time budget" sheetId="14" r:id="rId1"/>
    <sheet name="survey priority" sheetId="16" r:id="rId2"/>
    <sheet name="survey return" sheetId="19" r:id="rId3"/>
    <sheet name="Survey Time" sheetId="15" r:id="rId4"/>
    <sheet name="table" sheetId="1" r:id="rId5"/>
    <sheet name="portfolio builder" sheetId="8" r:id="rId6"/>
    <sheet name="Efficient frontier chart  " sheetId="22" r:id="rId7"/>
    <sheet name="Sheet2" sheetId="18" state="hidden" r:id="rId8"/>
    <sheet name="selection status" sheetId="20" r:id="rId9"/>
    <sheet name="Modifications" sheetId="21" r:id="rId10"/>
  </sheets>
  <definedNames>
    <definedName name="solver_adj" localSheetId="5" hidden="1">'portfolio builder'!$C$6:$C$23</definedName>
    <definedName name="solver_cvg" localSheetId="5" hidden="1">0.0001</definedName>
    <definedName name="solver_drv" localSheetId="5" hidden="1">2</definedName>
    <definedName name="solver_eng" localSheetId="5" hidden="1">2</definedName>
    <definedName name="solver_eng" localSheetId="4" hidden="1">1</definedName>
    <definedName name="solver_est" localSheetId="5" hidden="1">1</definedName>
    <definedName name="solver_itr" localSheetId="5" hidden="1">2147483647</definedName>
    <definedName name="solver_lhs1" localSheetId="5" hidden="1">'portfolio builder'!$C$6:$C$23</definedName>
    <definedName name="solver_lhs10" localSheetId="5" hidden="1">'portfolio builder'!$D$2</definedName>
    <definedName name="solver_lhs11" localSheetId="5" hidden="1">'portfolio builder'!$D$2</definedName>
    <definedName name="solver_lhs12" localSheetId="5" hidden="1">'portfolio builder'!$D$2</definedName>
    <definedName name="solver_lhs2" localSheetId="5" hidden="1">'portfolio builder'!$D$2</definedName>
    <definedName name="solver_lhs3" localSheetId="5" hidden="1">'portfolio builder'!$D$2</definedName>
    <definedName name="solver_lhs4" localSheetId="5" hidden="1">'portfolio builder'!$D$2</definedName>
    <definedName name="solver_lhs5" localSheetId="5" hidden="1">'portfolio builder'!$D$2</definedName>
    <definedName name="solver_lhs6" localSheetId="5" hidden="1">'portfolio builder'!$D$2</definedName>
    <definedName name="solver_lhs7" localSheetId="5" hidden="1">'portfolio builder'!$D$2</definedName>
    <definedName name="solver_lhs8" localSheetId="5" hidden="1">'portfolio builder'!$D$2</definedName>
    <definedName name="solver_lhs9" localSheetId="5" hidden="1">'portfolio builder'!$D$2</definedName>
    <definedName name="solver_mip" localSheetId="5" hidden="1">2147483647</definedName>
    <definedName name="solver_mni" localSheetId="5" hidden="1">30</definedName>
    <definedName name="solver_mrt" localSheetId="5" hidden="1">0.075</definedName>
    <definedName name="solver_msl" localSheetId="5" hidden="1">2</definedName>
    <definedName name="solver_neg" localSheetId="5" hidden="1">1</definedName>
    <definedName name="solver_neg" localSheetId="4" hidden="1">1</definedName>
    <definedName name="solver_nod" localSheetId="5" hidden="1">2147483647</definedName>
    <definedName name="solver_num" localSheetId="5" hidden="1">2</definedName>
    <definedName name="solver_num" localSheetId="4" hidden="1">0</definedName>
    <definedName name="solver_nwt" localSheetId="5" hidden="1">1</definedName>
    <definedName name="solver_opt" localSheetId="5" hidden="1">'portfolio builder'!$B$2</definedName>
    <definedName name="solver_opt" localSheetId="4" hidden="1">table!#REF!</definedName>
    <definedName name="solver_pre" localSheetId="5" hidden="1">0.000001</definedName>
    <definedName name="solver_rbv" localSheetId="5" hidden="1">2</definedName>
    <definedName name="solver_rel1" localSheetId="5" hidden="1">5</definedName>
    <definedName name="solver_rel10" localSheetId="5" hidden="1">1</definedName>
    <definedName name="solver_rel11" localSheetId="5" hidden="1">1</definedName>
    <definedName name="solver_rel12" localSheetId="5" hidden="1">1</definedName>
    <definedName name="solver_rel2" localSheetId="5" hidden="1">1</definedName>
    <definedName name="solver_rel3" localSheetId="5" hidden="1">1</definedName>
    <definedName name="solver_rel4" localSheetId="5" hidden="1">1</definedName>
    <definedName name="solver_rel5" localSheetId="5" hidden="1">1</definedName>
    <definedName name="solver_rel6" localSheetId="5" hidden="1">1</definedName>
    <definedName name="solver_rel7" localSheetId="5" hidden="1">1</definedName>
    <definedName name="solver_rel8" localSheetId="5" hidden="1">1</definedName>
    <definedName name="solver_rel9" localSheetId="5" hidden="1">1</definedName>
    <definedName name="solver_rhs1" localSheetId="5" hidden="1">binary</definedName>
    <definedName name="solver_rhs10" localSheetId="5" hidden="1">'portfolio builder'!$D$1</definedName>
    <definedName name="solver_rhs11" localSheetId="5" hidden="1">'portfolio builder'!$D$1</definedName>
    <definedName name="solver_rhs12" localSheetId="5" hidden="1">'portfolio builder'!$D$1</definedName>
    <definedName name="solver_rhs2" localSheetId="5" hidden="1">'portfolio builder'!$D$1</definedName>
    <definedName name="solver_rhs3" localSheetId="5" hidden="1">'portfolio builder'!$D$1</definedName>
    <definedName name="solver_rhs4" localSheetId="5" hidden="1">'portfolio builder'!$D$1</definedName>
    <definedName name="solver_rhs5" localSheetId="5" hidden="1">'portfolio builder'!$D$1</definedName>
    <definedName name="solver_rhs6" localSheetId="5" hidden="1">'portfolio builder'!$D$1</definedName>
    <definedName name="solver_rhs7" localSheetId="5" hidden="1">'portfolio builder'!$D$1</definedName>
    <definedName name="solver_rhs8" localSheetId="5" hidden="1">'portfolio builder'!$D$1</definedName>
    <definedName name="solver_rhs9" localSheetId="5" hidden="1">'portfolio builder'!$D$1</definedName>
    <definedName name="solver_rlx" localSheetId="5" hidden="1">2</definedName>
    <definedName name="solver_rsd" localSheetId="5" hidden="1">0</definedName>
    <definedName name="solver_scl" localSheetId="5" hidden="1">2</definedName>
    <definedName name="solver_sho" localSheetId="5" hidden="1">2</definedName>
    <definedName name="solver_ssz" localSheetId="5" hidden="1">100</definedName>
    <definedName name="solver_tim" localSheetId="5" hidden="1">2147483647</definedName>
    <definedName name="solver_tol" localSheetId="5" hidden="1">0.01</definedName>
    <definedName name="solver_typ" localSheetId="5" hidden="1">1</definedName>
    <definedName name="solver_typ" localSheetId="4" hidden="1">1</definedName>
    <definedName name="solver_val" localSheetId="5" hidden="1">0</definedName>
    <definedName name="solver_val" localSheetId="4" hidden="1">0</definedName>
    <definedName name="solver_ver" localSheetId="5" hidden="1">3</definedName>
    <definedName name="solver_ver" localSheetId="4" hidden="1">3</definedName>
  </definedNames>
  <calcPr calcId="152511"/>
</workbook>
</file>

<file path=xl/calcChain.xml><?xml version="1.0" encoding="utf-8"?>
<calcChain xmlns="http://schemas.openxmlformats.org/spreadsheetml/2006/main">
  <c r="P56" i="1" l="1"/>
  <c r="F3" i="19"/>
  <c r="F4" i="19"/>
  <c r="F5" i="19"/>
  <c r="F6" i="19"/>
  <c r="F7" i="19"/>
  <c r="F8" i="19"/>
  <c r="F9" i="19"/>
  <c r="F10" i="19"/>
  <c r="F11" i="19"/>
  <c r="F12" i="19"/>
  <c r="F13" i="19"/>
  <c r="F14" i="19"/>
  <c r="F15" i="19"/>
  <c r="F16" i="19"/>
  <c r="F17" i="19"/>
  <c r="F18" i="19"/>
  <c r="F19" i="19"/>
  <c r="F2" i="19"/>
  <c r="H56" i="1"/>
  <c r="I56" i="1"/>
  <c r="J56" i="1"/>
  <c r="K56" i="1"/>
  <c r="L56" i="1"/>
  <c r="M56" i="1"/>
  <c r="N56" i="1"/>
  <c r="O56" i="1"/>
  <c r="Q56" i="1"/>
  <c r="R56" i="1"/>
  <c r="S56" i="1"/>
  <c r="T56" i="1"/>
  <c r="U56" i="1"/>
  <c r="V56" i="1"/>
  <c r="W56" i="1"/>
  <c r="X56" i="1"/>
  <c r="Y56" i="1"/>
  <c r="Z56" i="1"/>
  <c r="AA56" i="1"/>
  <c r="AB56" i="1"/>
  <c r="B19" i="1"/>
  <c r="A21" i="8"/>
  <c r="C19" i="1"/>
  <c r="B20" i="1"/>
  <c r="A18" i="20"/>
  <c r="C20" i="1"/>
  <c r="B21" i="1"/>
  <c r="A19" i="20"/>
  <c r="C21" i="1"/>
  <c r="G56" i="1"/>
  <c r="J6" i="16"/>
  <c r="J5" i="16"/>
  <c r="J4" i="16"/>
  <c r="J3" i="16"/>
  <c r="B4" i="1"/>
  <c r="E4" i="1"/>
  <c r="B5" i="1"/>
  <c r="A3" i="20"/>
  <c r="B6" i="1"/>
  <c r="B7" i="1"/>
  <c r="E7" i="1"/>
  <c r="B8" i="1"/>
  <c r="E8" i="1"/>
  <c r="B9" i="1"/>
  <c r="A7" i="20"/>
  <c r="B10" i="1"/>
  <c r="B11" i="1"/>
  <c r="E11" i="1"/>
  <c r="B12" i="1"/>
  <c r="E12" i="1"/>
  <c r="B13" i="1"/>
  <c r="A11" i="20"/>
  <c r="B14" i="1"/>
  <c r="B15" i="1"/>
  <c r="E15" i="1"/>
  <c r="B16" i="1"/>
  <c r="B17" i="1"/>
  <c r="A15" i="20"/>
  <c r="B18" i="1"/>
  <c r="C4" i="1"/>
  <c r="C5" i="1"/>
  <c r="C6" i="1"/>
  <c r="C7" i="1"/>
  <c r="C8" i="1"/>
  <c r="C9" i="1"/>
  <c r="C10" i="1"/>
  <c r="C11" i="1"/>
  <c r="C12" i="1"/>
  <c r="C13" i="1"/>
  <c r="C14" i="1"/>
  <c r="C15" i="1"/>
  <c r="C16" i="1"/>
  <c r="C17" i="1"/>
  <c r="C18" i="1"/>
  <c r="K20" i="19"/>
  <c r="O14" i="19"/>
  <c r="D11" i="19"/>
  <c r="D9" i="19"/>
  <c r="D16" i="19"/>
  <c r="D3" i="19"/>
  <c r="D4" i="19"/>
  <c r="D10" i="19"/>
  <c r="D15" i="19"/>
  <c r="D14" i="19"/>
  <c r="D13" i="19"/>
  <c r="D12" i="19"/>
  <c r="D2" i="19"/>
  <c r="D8" i="19"/>
  <c r="D7" i="19"/>
  <c r="D17" i="19"/>
  <c r="G6" i="19"/>
  <c r="D6" i="19"/>
  <c r="G18" i="19"/>
  <c r="D18" i="19"/>
  <c r="G5" i="19"/>
  <c r="D5" i="19"/>
  <c r="E1" i="18"/>
  <c r="E9" i="18"/>
  <c r="E5" i="18"/>
  <c r="E6" i="18"/>
  <c r="E4" i="18"/>
  <c r="E2" i="18"/>
  <c r="E7" i="18"/>
  <c r="E3" i="18"/>
  <c r="E24" i="18"/>
  <c r="E16" i="18"/>
  <c r="E10" i="18"/>
  <c r="E15" i="18"/>
  <c r="E17" i="18"/>
  <c r="E25" i="18"/>
  <c r="E18" i="18"/>
  <c r="E23" i="18"/>
  <c r="E21" i="18"/>
  <c r="E11" i="18"/>
  <c r="E22" i="18"/>
  <c r="E12" i="18"/>
  <c r="E19" i="18"/>
  <c r="E13" i="18"/>
  <c r="E20" i="18"/>
  <c r="E26" i="18"/>
  <c r="E14" i="18"/>
  <c r="E8" i="18"/>
  <c r="G6" i="16"/>
  <c r="G5" i="16"/>
  <c r="G4" i="16"/>
  <c r="G3" i="16"/>
  <c r="D4" i="16"/>
  <c r="D5" i="16"/>
  <c r="D6" i="16"/>
  <c r="D7" i="16"/>
  <c r="D8" i="16"/>
  <c r="D9" i="16"/>
  <c r="D10" i="16"/>
  <c r="D11" i="16"/>
  <c r="D12" i="16"/>
  <c r="D13" i="16"/>
  <c r="D14" i="16"/>
  <c r="D15" i="16"/>
  <c r="D16" i="16"/>
  <c r="D17" i="16"/>
  <c r="D18" i="16"/>
  <c r="D19" i="16"/>
  <c r="D3" i="16"/>
  <c r="C22" i="1"/>
  <c r="C23" i="1"/>
  <c r="C24" i="1"/>
  <c r="C25" i="1"/>
  <c r="C26" i="1"/>
  <c r="C27" i="1"/>
  <c r="C28" i="1"/>
  <c r="C29" i="1"/>
  <c r="C30" i="1"/>
  <c r="C31" i="1"/>
  <c r="C32" i="1"/>
  <c r="C33" i="1"/>
  <c r="C34" i="1"/>
  <c r="C35" i="1"/>
  <c r="C36" i="1"/>
  <c r="C37" i="1"/>
  <c r="C38" i="1"/>
  <c r="C39" i="1"/>
  <c r="C40" i="1"/>
  <c r="C41" i="1"/>
  <c r="C42" i="1"/>
  <c r="C43" i="1"/>
  <c r="C44" i="1"/>
  <c r="C45" i="1"/>
  <c r="B22" i="1"/>
  <c r="A20" i="20"/>
  <c r="B23" i="1"/>
  <c r="A21" i="20"/>
  <c r="B24" i="1"/>
  <c r="A22" i="20"/>
  <c r="B25" i="1"/>
  <c r="A23" i="20"/>
  <c r="B26" i="1"/>
  <c r="A24" i="20"/>
  <c r="B27" i="1"/>
  <c r="A25" i="20"/>
  <c r="B28" i="1"/>
  <c r="A26" i="20"/>
  <c r="B29" i="1"/>
  <c r="A27" i="20"/>
  <c r="B30" i="1"/>
  <c r="B31" i="1"/>
  <c r="B32" i="1"/>
  <c r="B33" i="1"/>
  <c r="B34" i="1"/>
  <c r="B35" i="1"/>
  <c r="B36" i="1"/>
  <c r="B37" i="1"/>
  <c r="B38" i="1"/>
  <c r="B39" i="1"/>
  <c r="B40" i="1"/>
  <c r="B41" i="1"/>
  <c r="B42" i="1"/>
  <c r="B43" i="1"/>
  <c r="B44" i="1"/>
  <c r="B45" i="1"/>
  <c r="J8" i="14"/>
  <c r="J9" i="14"/>
  <c r="J11" i="14"/>
  <c r="I11" i="14"/>
  <c r="J12" i="14"/>
  <c r="I12" i="14"/>
  <c r="J13" i="14"/>
  <c r="I13" i="14"/>
  <c r="J14" i="14"/>
  <c r="J15" i="14"/>
  <c r="J16" i="14"/>
  <c r="J17" i="14"/>
  <c r="I17" i="14"/>
  <c r="J18" i="14"/>
  <c r="I18" i="14"/>
  <c r="J19" i="14"/>
  <c r="J20" i="14"/>
  <c r="I20" i="14"/>
  <c r="J21" i="14"/>
  <c r="I21" i="14"/>
  <c r="J22" i="14"/>
  <c r="I22" i="14"/>
  <c r="C8" i="14"/>
  <c r="B8" i="14"/>
  <c r="D8" i="14"/>
  <c r="I8" i="14"/>
  <c r="C9" i="14"/>
  <c r="B9" i="14"/>
  <c r="D9" i="14"/>
  <c r="I9" i="14"/>
  <c r="C10" i="14"/>
  <c r="B10" i="14"/>
  <c r="D10" i="14"/>
  <c r="I10" i="14"/>
  <c r="C11" i="14"/>
  <c r="B11" i="14"/>
  <c r="D11" i="14"/>
  <c r="C12" i="14"/>
  <c r="C13" i="14"/>
  <c r="D13" i="14"/>
  <c r="B13" i="14"/>
  <c r="C14" i="14"/>
  <c r="B14" i="14"/>
  <c r="D14" i="14"/>
  <c r="C15" i="14"/>
  <c r="C16" i="14"/>
  <c r="D16" i="14"/>
  <c r="B16" i="14"/>
  <c r="I16" i="14"/>
  <c r="C17" i="14"/>
  <c r="D17" i="14"/>
  <c r="B17" i="14"/>
  <c r="C18" i="14"/>
  <c r="B18" i="14"/>
  <c r="C19" i="14"/>
  <c r="I19" i="14"/>
  <c r="C20" i="14"/>
  <c r="D20" i="14"/>
  <c r="B20" i="14"/>
  <c r="C21" i="14"/>
  <c r="D21" i="14"/>
  <c r="B21" i="14"/>
  <c r="C22" i="14"/>
  <c r="E23" i="14"/>
  <c r="H23" i="14"/>
  <c r="F54" i="1"/>
  <c r="A17" i="8"/>
  <c r="D18" i="14"/>
  <c r="I14" i="14"/>
  <c r="A19" i="8"/>
  <c r="A7" i="8"/>
  <c r="A11" i="8"/>
  <c r="A23" i="8"/>
  <c r="E9" i="1"/>
  <c r="D9" i="1"/>
  <c r="F9" i="1"/>
  <c r="D7" i="1"/>
  <c r="D21" i="1"/>
  <c r="D20" i="1"/>
  <c r="E17" i="1"/>
  <c r="D15" i="1"/>
  <c r="F15" i="1"/>
  <c r="E21" i="1"/>
  <c r="E20" i="1"/>
  <c r="D17" i="1"/>
  <c r="F17" i="1"/>
  <c r="E13" i="1"/>
  <c r="D13" i="1"/>
  <c r="F13" i="1"/>
  <c r="A13" i="20"/>
  <c r="A22" i="8"/>
  <c r="D5" i="1"/>
  <c r="A15" i="8"/>
  <c r="A13" i="8"/>
  <c r="E5" i="1"/>
  <c r="A9" i="20"/>
  <c r="A9" i="8"/>
  <c r="F7" i="1"/>
  <c r="D11" i="1"/>
  <c r="F11" i="1"/>
  <c r="A5" i="20"/>
  <c r="D22" i="14"/>
  <c r="B22" i="14"/>
  <c r="I15" i="14"/>
  <c r="J25" i="14"/>
  <c r="A14" i="20"/>
  <c r="D16" i="1"/>
  <c r="A18" i="8"/>
  <c r="A6" i="20"/>
  <c r="D8" i="1"/>
  <c r="F8" i="1"/>
  <c r="E10" i="1"/>
  <c r="A8" i="20"/>
  <c r="D10" i="1"/>
  <c r="A12" i="8"/>
  <c r="H6" i="14"/>
  <c r="B12" i="14"/>
  <c r="C23" i="14"/>
  <c r="D12" i="14"/>
  <c r="D23" i="14"/>
  <c r="H5" i="14"/>
  <c r="E16" i="1"/>
  <c r="A10" i="8"/>
  <c r="D19" i="14"/>
  <c r="B19" i="14"/>
  <c r="D15" i="14"/>
  <c r="B15" i="14"/>
  <c r="E14" i="1"/>
  <c r="A16" i="8"/>
  <c r="D14" i="1"/>
  <c r="A12" i="20"/>
  <c r="E6" i="1"/>
  <c r="A8" i="8"/>
  <c r="D6" i="1"/>
  <c r="A4" i="20"/>
  <c r="E18" i="1"/>
  <c r="D18" i="1"/>
  <c r="A20" i="8"/>
  <c r="A16" i="20"/>
  <c r="A10" i="20"/>
  <c r="D12" i="1"/>
  <c r="F12" i="1"/>
  <c r="A14" i="8"/>
  <c r="A2" i="20"/>
  <c r="D4" i="1"/>
  <c r="A6" i="8"/>
  <c r="F21" i="1"/>
  <c r="E19" i="1"/>
  <c r="D19" i="1"/>
  <c r="A17" i="20"/>
  <c r="F20" i="1"/>
  <c r="F5" i="1"/>
  <c r="F19" i="1"/>
  <c r="D2" i="8"/>
  <c r="F16" i="1"/>
  <c r="F10" i="1"/>
  <c r="L55" i="1"/>
  <c r="Q55" i="1"/>
  <c r="U55" i="1"/>
  <c r="Y55" i="1"/>
  <c r="V55" i="1"/>
  <c r="H55" i="1"/>
  <c r="N55" i="1"/>
  <c r="I55" i="1"/>
  <c r="J55" i="1"/>
  <c r="O55" i="1"/>
  <c r="T55" i="1"/>
  <c r="X55" i="1"/>
  <c r="AB55" i="1"/>
  <c r="M55" i="1"/>
  <c r="R55" i="1"/>
  <c r="Z55" i="1"/>
  <c r="K55" i="1"/>
  <c r="W55" i="1"/>
  <c r="S55" i="1"/>
  <c r="AA55" i="1"/>
  <c r="G55" i="1"/>
  <c r="F18" i="1"/>
  <c r="F6" i="1"/>
  <c r="F14" i="1"/>
  <c r="B23" i="14"/>
  <c r="F4" i="1"/>
  <c r="H54" i="1"/>
  <c r="K54" i="1"/>
  <c r="N54" i="1"/>
  <c r="S54" i="1"/>
  <c r="W54" i="1"/>
  <c r="AA54" i="1"/>
  <c r="I54" i="1"/>
  <c r="O54" i="1"/>
  <c r="AB54" i="1"/>
  <c r="G54" i="1"/>
  <c r="U54" i="1"/>
  <c r="M54" i="1"/>
  <c r="R54" i="1"/>
  <c r="V54" i="1"/>
  <c r="Z54" i="1"/>
  <c r="J54" i="1"/>
  <c r="T54" i="1"/>
  <c r="X54" i="1"/>
  <c r="L54" i="1"/>
  <c r="Q54" i="1"/>
  <c r="Y54" i="1"/>
  <c r="B2" i="8"/>
  <c r="P55" i="1"/>
  <c r="P54" i="1"/>
</calcChain>
</file>

<file path=xl/sharedStrings.xml><?xml version="1.0" encoding="utf-8"?>
<sst xmlns="http://schemas.openxmlformats.org/spreadsheetml/2006/main" count="273" uniqueCount="170">
  <si>
    <t>Survey Name</t>
  </si>
  <si>
    <t>Final Score</t>
  </si>
  <si>
    <t>weeks available</t>
  </si>
  <si>
    <t>return on effort</t>
  </si>
  <si>
    <t>weeks used</t>
  </si>
  <si>
    <t xml:space="preserve"> </t>
  </si>
  <si>
    <t>Fund raising</t>
  </si>
  <si>
    <t>Professional development</t>
  </si>
  <si>
    <t>Supervision</t>
  </si>
  <si>
    <t>Research</t>
  </si>
  <si>
    <t>External activities</t>
  </si>
  <si>
    <t>WHRs</t>
  </si>
  <si>
    <t>Analysis and summary</t>
  </si>
  <si>
    <t>Data management</t>
  </si>
  <si>
    <t>Monitoring</t>
  </si>
  <si>
    <t>Conservation delivery</t>
  </si>
  <si>
    <t>Planning</t>
  </si>
  <si>
    <t>Leave</t>
  </si>
  <si>
    <t>Safety and other training</t>
  </si>
  <si>
    <t>Other duties</t>
  </si>
  <si>
    <t>Refuge surveillance</t>
  </si>
  <si>
    <t>weeks</t>
  </si>
  <si>
    <t>% time</t>
  </si>
  <si>
    <t>Hrs/wk</t>
  </si>
  <si>
    <t>Wks</t>
  </si>
  <si>
    <t>Average Hrs/yr.</t>
  </si>
  <si>
    <t>% of Time</t>
  </si>
  <si>
    <t>Refuge Biologist Duty</t>
  </si>
  <si>
    <t xml:space="preserve">Estimated Annual Commitment (weeks) </t>
  </si>
  <si>
    <t>Survey</t>
  </si>
  <si>
    <t>1. Estimate commitment to each duty as % of total time in highlighted cells</t>
  </si>
  <si>
    <t>2. Ensure that 100% of time is not exceded ( highlighted in red below when exceeded)</t>
  </si>
  <si>
    <t>3.  Fill in annual survey time commitment estimates and frequency over the life of the IMP on the next sheet (survey time)</t>
  </si>
  <si>
    <t>total weeks (&lt;52)</t>
  </si>
  <si>
    <t>weeks for Biological surveys:</t>
  </si>
  <si>
    <t>hours per year</t>
  </si>
  <si>
    <t>Frequency over life of IMP (# years out of 15 years)</t>
  </si>
  <si>
    <t>a</t>
  </si>
  <si>
    <t>b</t>
  </si>
  <si>
    <t>c</t>
  </si>
  <si>
    <t>d</t>
  </si>
  <si>
    <t>e</t>
  </si>
  <si>
    <t>f</t>
  </si>
  <si>
    <t>g</t>
  </si>
  <si>
    <t>i</t>
  </si>
  <si>
    <t>j</t>
  </si>
  <si>
    <t>survey name</t>
  </si>
  <si>
    <t>survey selected as constraint?</t>
  </si>
  <si>
    <t>constrained =1</t>
  </si>
  <si>
    <t>Freq. over life IMP</t>
  </si>
  <si>
    <t>Return on time over life IMP</t>
  </si>
  <si>
    <t xml:space="preserve">  </t>
  </si>
  <si>
    <t>annual weeks</t>
  </si>
  <si>
    <t>surveys selected directly or via solver in the</t>
  </si>
  <si>
    <t xml:space="preserve"> (yes=1, 0=no)</t>
  </si>
  <si>
    <t>Annual weeks</t>
  </si>
  <si>
    <t>priority</t>
  </si>
  <si>
    <t xml:space="preserve">Portfolio Name: </t>
  </si>
  <si>
    <t># surveys</t>
  </si>
  <si>
    <t>Bathymetry</t>
  </si>
  <si>
    <t>BBS vacant Mo or Iowa routes</t>
  </si>
  <si>
    <t>water level monitoring (hsb and lsa)</t>
  </si>
  <si>
    <t>vegetative cover monitoring</t>
  </si>
  <si>
    <t>Small Mammals Surveys</t>
  </si>
  <si>
    <t>fish surveys</t>
  </si>
  <si>
    <t xml:space="preserve">aquatic invertebrates </t>
  </si>
  <si>
    <t>pollinator inventory</t>
  </si>
  <si>
    <t>mussel surveys</t>
  </si>
  <si>
    <t>Butterfly Surveys</t>
  </si>
  <si>
    <t xml:space="preserve">mid-winter waterfowl survey </t>
  </si>
  <si>
    <t>mid-winter eagle survey</t>
  </si>
  <si>
    <t>bat inventory/monitoring</t>
  </si>
  <si>
    <t>amphibian and reptile</t>
  </si>
  <si>
    <t xml:space="preserve">american woodcock </t>
  </si>
  <si>
    <t>invasive species inventory/monitoring</t>
  </si>
  <si>
    <t xml:space="preserve">forest inventory </t>
  </si>
  <si>
    <t>secretive marshbird monitoring</t>
  </si>
  <si>
    <t>reed canary grass AM vegetation survey</t>
  </si>
  <si>
    <t>Monitoring Avian Productivity and Survivorship (MAPS)</t>
  </si>
  <si>
    <t>Late Summer/ Early Fall Shorebird Surveys</t>
  </si>
  <si>
    <t>landbird point counts</t>
  </si>
  <si>
    <t>Keithsburg Division Contaminants Monitoring</t>
  </si>
  <si>
    <t xml:space="preserve">fall weekly waterfowl surveys (dnr)/waterbird survey </t>
  </si>
  <si>
    <t>aquatic vegetation</t>
  </si>
  <si>
    <t>Final Rank</t>
  </si>
  <si>
    <t>*   &lt;1 converted to .5</t>
  </si>
  <si>
    <t>change</t>
  </si>
  <si>
    <t>5% class</t>
  </si>
  <si>
    <t>group</t>
  </si>
  <si>
    <t>90th</t>
  </si>
  <si>
    <t>80th</t>
  </si>
  <si>
    <t>70th</t>
  </si>
  <si>
    <t>50th</t>
  </si>
  <si>
    <t>&lt;50th</t>
  </si>
  <si>
    <t>percentile</t>
  </si>
  <si>
    <t>score</t>
  </si>
  <si>
    <t>Return over life IMP</t>
  </si>
  <si>
    <t>start year</t>
  </si>
  <si>
    <t xml:space="preserve">end year </t>
  </si>
  <si>
    <t>conduct with existing resources</t>
  </si>
  <si>
    <t>Not selected</t>
  </si>
  <si>
    <t>conduct with additional resources</t>
  </si>
  <si>
    <t>Selection status</t>
  </si>
  <si>
    <t>Modifications made for Region 3</t>
  </si>
  <si>
    <t>11 total criteria were removed from the national version of the SMART tool (Revised_Survey_Prioritization_Tool_20140403.xlsx) to create this verision for use in Region 3. This is equivalent to assigning a weight of 0 to that criteria. Justification for removing the criteria is provided below. The tool was modified for ease of use within the region.</t>
  </si>
  <si>
    <t>3 criteria were interpreted by Region 3 to refine and clarify uncertainty for the zone biologists.</t>
  </si>
  <si>
    <t>Criteria REMOVED by Region 3</t>
  </si>
  <si>
    <t>Record</t>
  </si>
  <si>
    <t>Justification</t>
  </si>
  <si>
    <t>1A. Refuge Purpose</t>
  </si>
  <si>
    <t>The way CCPs and HMPs are written in Region 3, this criterion is covered under 1B. Removed to avoid duplication.</t>
  </si>
  <si>
    <t xml:space="preserve">1C. NWRS Objectives </t>
  </si>
  <si>
    <t>4B. Other Legal Mandates</t>
  </si>
  <si>
    <t>6B. Survey Scope</t>
  </si>
  <si>
    <t>All surveys in Region 3 have thus far and will most likely continue to score the same (a "1') making this criterion irrelevant. This criterion was designed for areas with high levels of endemisim and this concern will be covered under 4A.</t>
  </si>
  <si>
    <t>6D. Integration with Other Survey</t>
  </si>
  <si>
    <t>All surveys are integrated to give a picture of the success of refuge management. We don't want surveys to be overly dependent on each other. IWMM is a bad example based on the way the protocol is being written (all 1 survey).</t>
  </si>
  <si>
    <t>6E. Attribute Quality and Scope</t>
  </si>
  <si>
    <t>All protocols should be based on attributes of acceptable quality to answer the question. No reason to think that automated data collection is better as scoring scale indicates.</t>
  </si>
  <si>
    <t>7A. Sampling Design Stage</t>
  </si>
  <si>
    <t>All surveys will get the likely get the same score for 7A, 7B, and 7C. Removed to avoid duplication given the interpretation of 7C.</t>
  </si>
  <si>
    <t>7B. Field Methods Stage</t>
  </si>
  <si>
    <t>8A. Monetary</t>
  </si>
  <si>
    <t>All cost considerations are dealt with more explicitly in Region 3 by asking the refuge staff to estimate the labor and funding required to complete each survey after the prioritization process. These cost estimates are used in the portfolio analysis. Removed to avoid duplication with this process.</t>
  </si>
  <si>
    <t>8B. Personnel</t>
  </si>
  <si>
    <t>8C. Security/Source of Funding</t>
  </si>
  <si>
    <t>Criteria INTERPRETED by Region 3</t>
  </si>
  <si>
    <t>Justification/Interpretation</t>
  </si>
  <si>
    <t>3A. FWS Surrogate Species</t>
  </si>
  <si>
    <t>We interpret this question more broadly than just the FWS list designated as Version 1.0 for Region 3. We include any focal, indicator, any other surrogate concept that has been designated and used by the FWS (e.g., JV focal species)</t>
  </si>
  <si>
    <t>3B. Refuge Processes</t>
  </si>
  <si>
    <t>We interpret this question to deal with ecological processes only. Indicator species are covered in 3A.</t>
  </si>
  <si>
    <t>7C. Data Management, Analysis, and Reporting</t>
  </si>
  <si>
    <t>We interpret this question to be about the stage of protocol development in general, not just data management, analysis and reporting.</t>
  </si>
  <si>
    <t>Stream Cond</t>
  </si>
  <si>
    <t>Restor Fish</t>
  </si>
  <si>
    <t>Fish Index</t>
  </si>
  <si>
    <t>Fish Comp</t>
  </si>
  <si>
    <t>Stream gage</t>
  </si>
  <si>
    <t>Culverts</t>
  </si>
  <si>
    <t>PIT</t>
  </si>
  <si>
    <t>Invasive</t>
  </si>
  <si>
    <t>IWMM</t>
  </si>
  <si>
    <t>Stream Habit</t>
  </si>
  <si>
    <t>Bat</t>
  </si>
  <si>
    <t>Stream Topo</t>
  </si>
  <si>
    <t>Map Lowland</t>
  </si>
  <si>
    <t>Macroinvert</t>
  </si>
  <si>
    <t>Point Count</t>
  </si>
  <si>
    <t>Turtle</t>
  </si>
  <si>
    <t>Photo Stream</t>
  </si>
  <si>
    <t>Blduck Nest</t>
  </si>
  <si>
    <t>weeks avail.</t>
  </si>
  <si>
    <t>Current</t>
  </si>
  <si>
    <t>Expected</t>
  </si>
  <si>
    <t>Future</t>
  </si>
  <si>
    <t>Percentile cutoff</t>
  </si>
  <si>
    <t>=selected surveys</t>
  </si>
  <si>
    <t>A = topdown</t>
  </si>
  <si>
    <t>B = optimal at 8.5 weeks</t>
  </si>
  <si>
    <t>C = optimal c:half capacity (weeks)</t>
  </si>
  <si>
    <t>D = optimal at 14 weeks</t>
  </si>
  <si>
    <t>E = c: 4 surveys not included in optimal</t>
  </si>
  <si>
    <t>F = c:point count, photo stream</t>
  </si>
  <si>
    <t>G = c:point count</t>
  </si>
  <si>
    <t>H = c:photo stream</t>
  </si>
  <si>
    <t>I = c: bird only</t>
  </si>
  <si>
    <t>J = fish surveys</t>
  </si>
  <si>
    <t>K = optimized using surveys selected c:selected = 1</t>
  </si>
  <si>
    <t>L = selected surveys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</si>
</sst>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9"/>
      <color theme="1"/>
      <name val="Calibri"/>
      <family val="2"/>
      <scheme val="minor"/>
    </font>
    <font>
      <sz val="8"/>
      <name val="Arial"/>
      <family val="2"/>
    </font>
    <font>
      <sz val="12"/>
      <color rgb="FF000000"/>
      <name val="Calibri"/>
      <family val="2"/>
    </font>
    <font>
      <sz val="18"/>
      <name val="Arial"/>
      <family val="2"/>
    </font>
  </fonts>
  <fills count="16">
    <fill>
      <patternFill patternType="none"/>
    </fill>
    <fill>
      <patternFill patternType="gray125"/>
    </fill>
    <fill>
      <patternFill patternType="solid">
        <fgColor theme="6"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48F83A"/>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3" fillId="0" borderId="0"/>
    <xf numFmtId="44" fontId="1" fillId="0" borderId="0" applyFont="0" applyFill="0" applyBorder="0" applyAlignment="0" applyProtection="0"/>
    <xf numFmtId="0" fontId="1" fillId="0" borderId="0"/>
    <xf numFmtId="0" fontId="1" fillId="0" borderId="0"/>
  </cellStyleXfs>
  <cellXfs count="156">
    <xf numFmtId="0" fontId="0" fillId="0" borderId="0" xfId="0"/>
    <xf numFmtId="164" fontId="3" fillId="2" borderId="1" xfId="1" applyNumberFormat="1" applyFill="1" applyBorder="1" applyAlignment="1">
      <alignment horizontal="center"/>
    </xf>
    <xf numFmtId="0" fontId="3" fillId="0" borderId="0" xfId="1"/>
    <xf numFmtId="1" fontId="3" fillId="0" borderId="0" xfId="1" applyNumberFormat="1" applyFont="1" applyFill="1" applyBorder="1" applyAlignment="1">
      <alignment horizontal="center"/>
    </xf>
    <xf numFmtId="0" fontId="3" fillId="0" borderId="0" xfId="1" applyFont="1" applyFill="1" applyAlignment="1">
      <alignment horizontal="center"/>
    </xf>
    <xf numFmtId="164" fontId="3" fillId="0" borderId="0" xfId="1" applyNumberFormat="1" applyFont="1" applyAlignment="1">
      <alignment horizontal="center"/>
    </xf>
    <xf numFmtId="0" fontId="3" fillId="0" borderId="0" xfId="1" applyFont="1"/>
    <xf numFmtId="164" fontId="3" fillId="0" borderId="0" xfId="1" applyNumberFormat="1" applyAlignment="1">
      <alignment horizontal="center"/>
    </xf>
    <xf numFmtId="0" fontId="3" fillId="0" borderId="0" xfId="1" applyFont="1" applyBorder="1" applyAlignment="1">
      <alignment horizontal="center"/>
    </xf>
    <xf numFmtId="0" fontId="3" fillId="0" borderId="9" xfId="1" applyBorder="1" applyAlignment="1">
      <alignment horizontal="center"/>
    </xf>
    <xf numFmtId="0" fontId="3" fillId="0" borderId="0" xfId="1" applyBorder="1" applyAlignment="1">
      <alignment horizontal="center"/>
    </xf>
    <xf numFmtId="0" fontId="3" fillId="0" borderId="6" xfId="1" applyBorder="1" applyAlignment="1">
      <alignment horizontal="center"/>
    </xf>
    <xf numFmtId="164" fontId="3" fillId="0" borderId="6" xfId="1" applyNumberFormat="1" applyBorder="1" applyAlignment="1">
      <alignment horizontal="center"/>
    </xf>
    <xf numFmtId="0" fontId="3" fillId="0" borderId="6" xfId="1" applyBorder="1"/>
    <xf numFmtId="0" fontId="3" fillId="0" borderId="0" xfId="1" applyAlignment="1">
      <alignment horizontal="center"/>
    </xf>
    <xf numFmtId="0" fontId="1" fillId="0" borderId="0" xfId="3"/>
    <xf numFmtId="0" fontId="1" fillId="0" borderId="11" xfId="3" applyBorder="1"/>
    <xf numFmtId="0" fontId="1" fillId="0" borderId="17" xfId="3" applyBorder="1"/>
    <xf numFmtId="164" fontId="3" fillId="0" borderId="0" xfId="1" applyNumberFormat="1"/>
    <xf numFmtId="0" fontId="0" fillId="0" borderId="6" xfId="0" applyBorder="1"/>
    <xf numFmtId="0" fontId="0" fillId="0" borderId="0" xfId="0" applyAlignment="1">
      <alignment horizontal="center"/>
    </xf>
    <xf numFmtId="0" fontId="5" fillId="0" borderId="0" xfId="3" applyFont="1"/>
    <xf numFmtId="0" fontId="1" fillId="0" borderId="19" xfId="3" applyFont="1" applyBorder="1"/>
    <xf numFmtId="0" fontId="1" fillId="0" borderId="13" xfId="3" applyFont="1" applyBorder="1"/>
    <xf numFmtId="0" fontId="1" fillId="0" borderId="21" xfId="3" applyBorder="1" applyAlignment="1">
      <alignment horizontal="center"/>
    </xf>
    <xf numFmtId="0" fontId="1" fillId="0" borderId="22" xfId="3" applyBorder="1" applyAlignment="1">
      <alignment horizontal="center"/>
    </xf>
    <xf numFmtId="0" fontId="1" fillId="0" borderId="22" xfId="3" applyFont="1" applyBorder="1" applyAlignment="1">
      <alignment horizontal="center"/>
    </xf>
    <xf numFmtId="0" fontId="1" fillId="0" borderId="23" xfId="3" applyBorder="1" applyAlignment="1">
      <alignment horizontal="center"/>
    </xf>
    <xf numFmtId="0" fontId="1" fillId="0" borderId="16" xfId="3" applyBorder="1" applyAlignment="1">
      <alignment horizontal="center"/>
    </xf>
    <xf numFmtId="0" fontId="1" fillId="0" borderId="0" xfId="3" applyBorder="1" applyAlignment="1">
      <alignment horizontal="center"/>
    </xf>
    <xf numFmtId="0" fontId="1" fillId="5" borderId="15" xfId="3" applyFill="1" applyBorder="1" applyAlignment="1">
      <alignment horizontal="center"/>
    </xf>
    <xf numFmtId="0" fontId="1" fillId="0" borderId="14" xfId="3" applyBorder="1" applyAlignment="1">
      <alignment horizontal="center"/>
    </xf>
    <xf numFmtId="0" fontId="1" fillId="6" borderId="16" xfId="3" applyFill="1" applyBorder="1" applyAlignment="1">
      <alignment horizontal="center"/>
    </xf>
    <xf numFmtId="0" fontId="1" fillId="6" borderId="0" xfId="3" applyFill="1" applyBorder="1" applyAlignment="1">
      <alignment horizontal="center"/>
    </xf>
    <xf numFmtId="0" fontId="1" fillId="6" borderId="14" xfId="3" applyFill="1" applyBorder="1" applyAlignment="1">
      <alignment horizontal="center"/>
    </xf>
    <xf numFmtId="0" fontId="1" fillId="0" borderId="13" xfId="3" applyBorder="1" applyAlignment="1">
      <alignment horizontal="center"/>
    </xf>
    <xf numFmtId="0" fontId="1" fillId="0" borderId="11" xfId="3" applyBorder="1" applyAlignment="1">
      <alignment horizontal="center"/>
    </xf>
    <xf numFmtId="0" fontId="1" fillId="0" borderId="10" xfId="3" applyBorder="1" applyAlignment="1">
      <alignment horizontal="center"/>
    </xf>
    <xf numFmtId="0" fontId="4" fillId="0" borderId="0" xfId="1" applyFont="1" applyBorder="1" applyAlignment="1">
      <alignment horizontal="center" wrapText="1"/>
    </xf>
    <xf numFmtId="164" fontId="4" fillId="0" borderId="0" xfId="1" applyNumberFormat="1" applyFont="1" applyBorder="1" applyAlignment="1">
      <alignment horizontal="center" wrapText="1"/>
    </xf>
    <xf numFmtId="0" fontId="3" fillId="0" borderId="0" xfId="1" applyAlignment="1">
      <alignment wrapText="1"/>
    </xf>
    <xf numFmtId="164" fontId="3" fillId="5" borderId="1" xfId="1" applyNumberFormat="1" applyFill="1" applyBorder="1" applyAlignment="1">
      <alignment horizontal="center"/>
    </xf>
    <xf numFmtId="0" fontId="3" fillId="5" borderId="1" xfId="1" applyFill="1" applyBorder="1" applyAlignment="1">
      <alignment horizontal="center"/>
    </xf>
    <xf numFmtId="2" fontId="0" fillId="0" borderId="0" xfId="0" applyNumberFormat="1" applyAlignment="1">
      <alignment horizontal="center"/>
    </xf>
    <xf numFmtId="1" fontId="0" fillId="0" borderId="0" xfId="0" applyNumberFormat="1" applyAlignment="1">
      <alignment horizontal="center"/>
    </xf>
    <xf numFmtId="2" fontId="0" fillId="0" borderId="6" xfId="0" applyNumberFormat="1" applyBorder="1" applyAlignment="1">
      <alignment wrapText="1"/>
    </xf>
    <xf numFmtId="2" fontId="0" fillId="7" borderId="6" xfId="0" applyNumberFormat="1" applyFill="1" applyBorder="1" applyAlignment="1">
      <alignment wrapText="1"/>
    </xf>
    <xf numFmtId="2" fontId="0" fillId="0" borderId="14" xfId="0" applyNumberFormat="1" applyBorder="1" applyAlignment="1">
      <alignment horizontal="center"/>
    </xf>
    <xf numFmtId="0" fontId="0" fillId="7" borderId="0" xfId="0" applyFill="1" applyAlignment="1">
      <alignment horizontal="center"/>
    </xf>
    <xf numFmtId="1" fontId="6" fillId="3" borderId="3" xfId="1" applyNumberFormat="1" applyFont="1" applyFill="1" applyBorder="1" applyAlignment="1">
      <alignment horizontal="center"/>
    </xf>
    <xf numFmtId="0" fontId="6" fillId="3" borderId="4" xfId="1" applyFont="1" applyFill="1" applyBorder="1" applyAlignment="1">
      <alignment horizontal="center"/>
    </xf>
    <xf numFmtId="0" fontId="6" fillId="3" borderId="6" xfId="1" applyFont="1" applyFill="1" applyBorder="1" applyAlignment="1">
      <alignment horizontal="center"/>
    </xf>
    <xf numFmtId="0" fontId="6" fillId="3" borderId="7" xfId="1" applyFont="1" applyFill="1" applyBorder="1" applyAlignment="1">
      <alignment horizontal="center"/>
    </xf>
    <xf numFmtId="1" fontId="0" fillId="8" borderId="0" xfId="0" applyNumberFormat="1" applyFill="1" applyAlignment="1">
      <alignment horizontal="left"/>
    </xf>
    <xf numFmtId="2" fontId="0" fillId="8" borderId="0" xfId="0" applyNumberFormat="1" applyFill="1" applyAlignment="1">
      <alignment horizontal="center"/>
    </xf>
    <xf numFmtId="1" fontId="0" fillId="8" borderId="0" xfId="0" applyNumberFormat="1" applyFill="1" applyAlignment="1">
      <alignment horizontal="center"/>
    </xf>
    <xf numFmtId="2" fontId="0" fillId="8" borderId="14" xfId="0" applyNumberFormat="1" applyFill="1" applyBorder="1" applyAlignment="1">
      <alignment horizontal="center"/>
    </xf>
    <xf numFmtId="2" fontId="0" fillId="8" borderId="6" xfId="0" applyNumberFormat="1" applyFill="1" applyBorder="1" applyAlignment="1">
      <alignment horizontal="center" vertical="top" wrapText="1"/>
    </xf>
    <xf numFmtId="2" fontId="0" fillId="8" borderId="24" xfId="0" applyNumberFormat="1" applyFill="1" applyBorder="1" applyAlignment="1">
      <alignment horizontal="center" vertical="top" wrapText="1"/>
    </xf>
    <xf numFmtId="1" fontId="0" fillId="8" borderId="6" xfId="0" applyNumberFormat="1" applyFill="1" applyBorder="1" applyAlignment="1">
      <alignment horizontal="center"/>
    </xf>
    <xf numFmtId="0" fontId="0" fillId="7" borderId="0" xfId="0" applyFill="1" applyBorder="1" applyAlignment="1">
      <alignment horizontal="center"/>
    </xf>
    <xf numFmtId="0" fontId="3" fillId="2" borderId="1" xfId="1" applyFont="1" applyFill="1" applyBorder="1" applyAlignment="1">
      <alignment horizontal="right"/>
    </xf>
    <xf numFmtId="0" fontId="3" fillId="0" borderId="27" xfId="1" applyFont="1" applyFill="1" applyBorder="1" applyAlignment="1">
      <alignment horizontal="center"/>
    </xf>
    <xf numFmtId="0" fontId="3" fillId="2" borderId="20" xfId="1" applyFont="1" applyFill="1" applyBorder="1" applyAlignment="1">
      <alignment horizontal="right"/>
    </xf>
    <xf numFmtId="2" fontId="3" fillId="8" borderId="12" xfId="1" applyNumberFormat="1" applyFont="1" applyFill="1" applyBorder="1" applyAlignment="1">
      <alignment horizontal="center"/>
    </xf>
    <xf numFmtId="164" fontId="3" fillId="8" borderId="1" xfId="1" applyNumberFormat="1" applyFill="1" applyBorder="1" applyAlignment="1">
      <alignment horizontal="center"/>
    </xf>
    <xf numFmtId="1" fontId="0" fillId="0" borderId="25" xfId="0" applyNumberFormat="1" applyBorder="1" applyAlignment="1">
      <alignment horizontal="center"/>
    </xf>
    <xf numFmtId="2" fontId="0" fillId="0" borderId="25" xfId="0" applyNumberFormat="1" applyBorder="1" applyAlignment="1">
      <alignment horizontal="center"/>
    </xf>
    <xf numFmtId="0" fontId="0" fillId="0" borderId="25" xfId="0" applyBorder="1" applyAlignment="1">
      <alignment horizontal="center"/>
    </xf>
    <xf numFmtId="0" fontId="3" fillId="2" borderId="26" xfId="1" applyFont="1" applyFill="1" applyBorder="1" applyAlignment="1">
      <alignment horizontal="center"/>
    </xf>
    <xf numFmtId="0" fontId="3" fillId="2" borderId="12" xfId="1" applyFont="1" applyFill="1" applyBorder="1" applyAlignment="1">
      <alignment horizontal="center"/>
    </xf>
    <xf numFmtId="0" fontId="6" fillId="3" borderId="2" xfId="1" applyFont="1" applyFill="1" applyBorder="1" applyAlignment="1">
      <alignment horizontal="center"/>
    </xf>
    <xf numFmtId="2" fontId="6" fillId="3" borderId="5" xfId="1" applyNumberFormat="1" applyFont="1" applyFill="1" applyBorder="1" applyAlignment="1">
      <alignment horizontal="center"/>
    </xf>
    <xf numFmtId="2" fontId="3" fillId="0" borderId="8" xfId="1" applyNumberFormat="1" applyBorder="1" applyAlignment="1">
      <alignment horizontal="center"/>
    </xf>
    <xf numFmtId="2" fontId="3" fillId="0" borderId="5" xfId="1" applyNumberForma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0" xfId="0"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2" fontId="0" fillId="7" borderId="6" xfId="0" applyNumberFormat="1" applyFill="1" applyBorder="1" applyAlignment="1">
      <alignment horizontal="center" vertical="center" wrapText="1"/>
    </xf>
    <xf numFmtId="2" fontId="0" fillId="7" borderId="6" xfId="0" applyNumberFormat="1" applyFill="1" applyBorder="1" applyAlignment="1">
      <alignment horizontal="center" wrapText="1"/>
    </xf>
    <xf numFmtId="0" fontId="3" fillId="0" borderId="18" xfId="1" applyBorder="1"/>
    <xf numFmtId="0" fontId="3" fillId="0" borderId="12" xfId="1" applyBorder="1"/>
    <xf numFmtId="0" fontId="1" fillId="4" borderId="18" xfId="3" applyFont="1" applyFill="1" applyBorder="1"/>
    <xf numFmtId="0" fontId="2" fillId="0" borderId="12" xfId="3" applyFont="1" applyBorder="1"/>
    <xf numFmtId="4" fontId="0" fillId="0" borderId="0" xfId="0" applyNumberFormat="1" applyAlignment="1">
      <alignment horizontal="center"/>
    </xf>
    <xf numFmtId="4" fontId="0" fillId="0" borderId="0" xfId="0" applyNumberFormat="1"/>
    <xf numFmtId="0" fontId="0" fillId="0" borderId="6" xfId="0" applyBorder="1" applyAlignment="1">
      <alignment horizontal="center"/>
    </xf>
    <xf numFmtId="4" fontId="0" fillId="0" borderId="6" xfId="0" applyNumberFormat="1" applyBorder="1" applyAlignment="1">
      <alignment horizontal="center"/>
    </xf>
    <xf numFmtId="0" fontId="0" fillId="5" borderId="14" xfId="0" applyFill="1" applyBorder="1" applyAlignment="1">
      <alignment horizontal="center"/>
    </xf>
    <xf numFmtId="0" fontId="0" fillId="9" borderId="14" xfId="0" applyFill="1" applyBorder="1" applyAlignment="1">
      <alignment horizontal="center"/>
    </xf>
    <xf numFmtId="0" fontId="0" fillId="10" borderId="14" xfId="0" applyFill="1" applyBorder="1" applyAlignment="1">
      <alignment horizontal="center"/>
    </xf>
    <xf numFmtId="0" fontId="0" fillId="11" borderId="10" xfId="0" applyFill="1" applyBorder="1" applyAlignment="1">
      <alignment horizontal="center"/>
    </xf>
    <xf numFmtId="0" fontId="0" fillId="2" borderId="14" xfId="0" applyFill="1" applyBorder="1" applyAlignment="1">
      <alignment horizontal="center"/>
    </xf>
    <xf numFmtId="0" fontId="0" fillId="4" borderId="0" xfId="0" applyFill="1" applyAlignment="1">
      <alignment horizontal="center"/>
    </xf>
    <xf numFmtId="2" fontId="0" fillId="0" borderId="0" xfId="0" applyNumberFormat="1" applyBorder="1" applyAlignment="1">
      <alignment horizontal="center"/>
    </xf>
    <xf numFmtId="0" fontId="0" fillId="0" borderId="28" xfId="0" applyBorder="1"/>
    <xf numFmtId="0" fontId="0" fillId="0" borderId="16" xfId="0" applyBorder="1"/>
    <xf numFmtId="0" fontId="0" fillId="0" borderId="13" xfId="0" applyBorder="1"/>
    <xf numFmtId="0" fontId="2" fillId="0" borderId="28" xfId="0" applyFont="1" applyBorder="1" applyAlignment="1">
      <alignment horizontal="center"/>
    </xf>
    <xf numFmtId="0" fontId="2" fillId="0" borderId="29" xfId="0" applyFont="1" applyBorder="1" applyAlignment="1">
      <alignment horizontal="center"/>
    </xf>
    <xf numFmtId="0" fontId="2" fillId="0" borderId="20" xfId="0" applyFont="1" applyBorder="1" applyAlignment="1">
      <alignment horizontal="center"/>
    </xf>
    <xf numFmtId="0" fontId="0" fillId="0" borderId="17" xfId="0" applyBorder="1" applyAlignment="1">
      <alignment horizontal="center"/>
    </xf>
    <xf numFmtId="0" fontId="0" fillId="0" borderId="30"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8" fillId="0" borderId="0" xfId="1" applyFont="1"/>
    <xf numFmtId="0" fontId="4" fillId="0" borderId="0" xfId="1" applyFont="1"/>
    <xf numFmtId="0" fontId="4" fillId="0" borderId="0" xfId="1" applyFont="1" applyAlignment="1">
      <alignment horizontal="center"/>
    </xf>
    <xf numFmtId="0" fontId="3" fillId="0" borderId="0" xfId="1" applyFont="1" applyFill="1" applyBorder="1"/>
    <xf numFmtId="0" fontId="3" fillId="0" borderId="0" xfId="1" applyFont="1" applyFill="1" applyBorder="1" applyAlignment="1">
      <alignment vertical="center"/>
    </xf>
    <xf numFmtId="0" fontId="3" fillId="5" borderId="0" xfId="1" applyFill="1" applyAlignment="1">
      <alignment wrapText="1"/>
    </xf>
    <xf numFmtId="0" fontId="0" fillId="5" borderId="0" xfId="0" applyFill="1" applyAlignment="1">
      <alignment horizontal="center"/>
    </xf>
    <xf numFmtId="165" fontId="4" fillId="5" borderId="0" xfId="0" applyNumberFormat="1" applyFont="1" applyFill="1" applyBorder="1" applyAlignment="1">
      <alignment horizontal="center" vertical="center"/>
    </xf>
    <xf numFmtId="4" fontId="0" fillId="5" borderId="0" xfId="0" applyNumberFormat="1" applyFill="1" applyAlignment="1">
      <alignment horizontal="center"/>
    </xf>
    <xf numFmtId="0" fontId="3" fillId="12" borderId="0" xfId="1" applyFill="1" applyBorder="1" applyAlignment="1">
      <alignment wrapText="1"/>
    </xf>
    <xf numFmtId="0" fontId="0" fillId="12" borderId="0" xfId="0" applyFill="1" applyAlignment="1">
      <alignment horizontal="center"/>
    </xf>
    <xf numFmtId="165" fontId="4" fillId="12" borderId="0" xfId="0" applyNumberFormat="1" applyFont="1" applyFill="1" applyBorder="1" applyAlignment="1">
      <alignment horizontal="center" vertical="center"/>
    </xf>
    <xf numFmtId="4" fontId="0" fillId="12" borderId="0" xfId="0" applyNumberFormat="1" applyFill="1" applyAlignment="1">
      <alignment horizontal="center"/>
    </xf>
    <xf numFmtId="0" fontId="0" fillId="12" borderId="0" xfId="0" applyFill="1" applyAlignment="1">
      <alignment wrapText="1"/>
    </xf>
    <xf numFmtId="0" fontId="0" fillId="13" borderId="0" xfId="0" applyFill="1" applyAlignment="1">
      <alignment wrapText="1"/>
    </xf>
    <xf numFmtId="0" fontId="0" fillId="13" borderId="0" xfId="0" applyFill="1" applyAlignment="1">
      <alignment horizontal="center"/>
    </xf>
    <xf numFmtId="165" fontId="4" fillId="13" borderId="0" xfId="0" applyNumberFormat="1" applyFont="1" applyFill="1" applyBorder="1" applyAlignment="1">
      <alignment horizontal="center" vertical="center"/>
    </xf>
    <xf numFmtId="4" fontId="0" fillId="13" borderId="0" xfId="0" applyNumberFormat="1" applyFill="1" applyAlignment="1">
      <alignment horizontal="center"/>
    </xf>
    <xf numFmtId="0" fontId="0" fillId="14" borderId="0" xfId="0" applyFill="1" applyAlignment="1">
      <alignment wrapText="1"/>
    </xf>
    <xf numFmtId="0" fontId="0" fillId="14" borderId="0" xfId="0" applyFill="1" applyAlignment="1">
      <alignment horizontal="center"/>
    </xf>
    <xf numFmtId="165" fontId="4" fillId="14" borderId="0" xfId="0" applyNumberFormat="1" applyFont="1" applyFill="1" applyBorder="1" applyAlignment="1">
      <alignment horizontal="center" vertical="center"/>
    </xf>
    <xf numFmtId="4" fontId="0" fillId="14" borderId="0" xfId="0" applyNumberFormat="1" applyFill="1" applyAlignment="1">
      <alignment horizontal="center"/>
    </xf>
    <xf numFmtId="0" fontId="5" fillId="4" borderId="0" xfId="0" applyFont="1" applyFill="1" applyAlignment="1">
      <alignment horizontal="center"/>
    </xf>
    <xf numFmtId="0" fontId="0" fillId="11" borderId="0" xfId="0" applyFill="1" applyAlignment="1">
      <alignment wrapText="1"/>
    </xf>
    <xf numFmtId="0" fontId="0" fillId="11" borderId="0" xfId="0" applyFill="1" applyAlignment="1">
      <alignment horizontal="center"/>
    </xf>
    <xf numFmtId="165" fontId="4" fillId="11" borderId="0" xfId="0" applyNumberFormat="1" applyFont="1" applyFill="1" applyBorder="1" applyAlignment="1">
      <alignment horizontal="center" vertical="center"/>
    </xf>
    <xf numFmtId="4" fontId="0" fillId="11" borderId="0" xfId="0" applyNumberFormat="1" applyFill="1" applyAlignment="1">
      <alignment horizontal="center"/>
    </xf>
    <xf numFmtId="0" fontId="0" fillId="0" borderId="0" xfId="0" applyBorder="1"/>
    <xf numFmtId="0" fontId="0" fillId="0" borderId="29" xfId="0" applyBorder="1"/>
    <xf numFmtId="164" fontId="0" fillId="0" borderId="0" xfId="0" applyNumberFormat="1"/>
    <xf numFmtId="164" fontId="3" fillId="5" borderId="28" xfId="1" applyNumberFormat="1" applyFill="1" applyBorder="1" applyAlignment="1">
      <alignment horizontal="center"/>
    </xf>
    <xf numFmtId="1" fontId="3" fillId="4" borderId="0" xfId="1" applyNumberFormat="1" applyFill="1" applyBorder="1" applyAlignment="1">
      <alignment horizontal="center"/>
    </xf>
    <xf numFmtId="2" fontId="3" fillId="5" borderId="28" xfId="1" applyNumberFormat="1" applyFill="1" applyBorder="1" applyAlignment="1">
      <alignment horizontal="center"/>
    </xf>
    <xf numFmtId="2" fontId="0" fillId="0" borderId="0" xfId="0" applyNumberFormat="1"/>
    <xf numFmtId="0" fontId="0" fillId="4" borderId="0" xfId="0" applyFill="1" applyAlignment="1">
      <alignment wrapText="1"/>
    </xf>
    <xf numFmtId="165" fontId="4" fillId="4" borderId="0" xfId="0" applyNumberFormat="1" applyFont="1" applyFill="1" applyBorder="1" applyAlignment="1">
      <alignment horizontal="center" vertical="center"/>
    </xf>
    <xf numFmtId="4" fontId="0" fillId="4" borderId="0" xfId="0" applyNumberFormat="1" applyFill="1" applyAlignment="1">
      <alignment horizontal="center"/>
    </xf>
    <xf numFmtId="0" fontId="3" fillId="4" borderId="0" xfId="1" applyFill="1" applyAlignment="1">
      <alignment wrapText="1"/>
    </xf>
    <xf numFmtId="0" fontId="3" fillId="4" borderId="0" xfId="1" applyFill="1" applyBorder="1" applyAlignment="1">
      <alignment wrapText="1"/>
    </xf>
    <xf numFmtId="0" fontId="0" fillId="4" borderId="0" xfId="0" applyFill="1"/>
    <xf numFmtId="4" fontId="0" fillId="4" borderId="0" xfId="0" applyNumberFormat="1" applyFill="1"/>
    <xf numFmtId="2" fontId="0" fillId="0" borderId="0" xfId="0" applyNumberFormat="1" applyFill="1" applyBorder="1" applyAlignment="1">
      <alignment horizontal="center"/>
    </xf>
    <xf numFmtId="2" fontId="0" fillId="0" borderId="19" xfId="0" applyNumberFormat="1" applyBorder="1" applyAlignment="1">
      <alignment horizontal="center"/>
    </xf>
    <xf numFmtId="2" fontId="3" fillId="0" borderId="8" xfId="1" applyNumberFormat="1" applyFill="1" applyBorder="1" applyAlignment="1">
      <alignment horizontal="center"/>
    </xf>
    <xf numFmtId="2" fontId="3" fillId="15" borderId="8" xfId="1" applyNumberFormat="1" applyFill="1" applyBorder="1" applyAlignment="1">
      <alignment horizontal="center"/>
    </xf>
    <xf numFmtId="0" fontId="3" fillId="15" borderId="0" xfId="1" applyFill="1"/>
    <xf numFmtId="0" fontId="3" fillId="15" borderId="0" xfId="1" quotePrefix="1" applyFill="1"/>
  </cellXfs>
  <cellStyles count="5">
    <cellStyle name="Currency 2" xfId="2"/>
    <cellStyle name="Normal" xfId="0" builtinId="0"/>
    <cellStyle name="Normal 2" xfId="1"/>
    <cellStyle name="Normal 3" xfId="3"/>
    <cellStyle name="Normal 3 2" xfId="4"/>
  </cellStyles>
  <dxfs count="2">
    <dxf>
      <font>
        <color rgb="FF9C0006"/>
      </font>
      <fill>
        <patternFill>
          <bgColor rgb="FFFFC7CE"/>
        </patternFill>
      </fill>
    </dxf>
    <dxf>
      <font>
        <b/>
        <i val="0"/>
      </font>
      <fill>
        <patternFill>
          <bgColor rgb="FFFF0000"/>
        </patternFill>
      </fill>
    </dxf>
  </dxfs>
  <tableStyles count="0" defaultTableStyle="TableStyleMedium2" defaultPivotStyle="PivotStyleLight16"/>
  <colors>
    <mruColors>
      <color rgb="FF48F8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'annual time budget'!$A$8:$A$22</c:f>
              <c:strCache>
                <c:ptCount val="15"/>
                <c:pt idx="0">
                  <c:v>Refuge surveillance</c:v>
                </c:pt>
                <c:pt idx="1">
                  <c:v>Other duties</c:v>
                </c:pt>
                <c:pt idx="2">
                  <c:v>Safety and other training</c:v>
                </c:pt>
                <c:pt idx="3">
                  <c:v>Leave</c:v>
                </c:pt>
                <c:pt idx="4">
                  <c:v>Planning</c:v>
                </c:pt>
                <c:pt idx="5">
                  <c:v>Conservation delivery</c:v>
                </c:pt>
                <c:pt idx="6">
                  <c:v>Monitoring</c:v>
                </c:pt>
                <c:pt idx="7">
                  <c:v>Data management</c:v>
                </c:pt>
                <c:pt idx="8">
                  <c:v>Analysis and summary</c:v>
                </c:pt>
                <c:pt idx="9">
                  <c:v>WHRs</c:v>
                </c:pt>
                <c:pt idx="10">
                  <c:v>External activities</c:v>
                </c:pt>
                <c:pt idx="11">
                  <c:v>Research</c:v>
                </c:pt>
                <c:pt idx="12">
                  <c:v>Supervision</c:v>
                </c:pt>
                <c:pt idx="13">
                  <c:v>Professional development</c:v>
                </c:pt>
                <c:pt idx="14">
                  <c:v>Fund raising</c:v>
                </c:pt>
              </c:strCache>
            </c:strRef>
          </c:cat>
          <c:val>
            <c:numRef>
              <c:f>'annual time budget'!$H$8:$H$22</c:f>
              <c:numCache>
                <c:formatCode>General</c:formatCode>
                <c:ptCount val="15"/>
                <c:pt idx="0">
                  <c:v>0</c:v>
                </c:pt>
                <c:pt idx="1">
                  <c:v>17.8</c:v>
                </c:pt>
                <c:pt idx="2">
                  <c:v>3.1</c:v>
                </c:pt>
                <c:pt idx="3">
                  <c:v>17.3</c:v>
                </c:pt>
                <c:pt idx="4">
                  <c:v>8.5</c:v>
                </c:pt>
                <c:pt idx="5">
                  <c:v>20</c:v>
                </c:pt>
                <c:pt idx="6">
                  <c:v>7.5</c:v>
                </c:pt>
                <c:pt idx="7">
                  <c:v>1.9</c:v>
                </c:pt>
                <c:pt idx="8">
                  <c:v>0</c:v>
                </c:pt>
                <c:pt idx="9">
                  <c:v>0</c:v>
                </c:pt>
                <c:pt idx="10">
                  <c:v>13.5</c:v>
                </c:pt>
                <c:pt idx="11">
                  <c:v>0</c:v>
                </c:pt>
                <c:pt idx="12">
                  <c:v>6.5</c:v>
                </c:pt>
                <c:pt idx="13">
                  <c:v>0</c:v>
                </c:pt>
                <c:pt idx="14">
                  <c:v>3.9</c:v>
                </c:pt>
              </c:numCache>
            </c:numRef>
          </c:val>
        </c:ser>
        <c:dLbls>
          <c:showLegendKey val="0"/>
          <c:showVal val="0"/>
          <c:showCatName val="0"/>
          <c:showSerName val="0"/>
          <c:showPercent val="0"/>
          <c:showBubbleSize val="0"/>
          <c:showLeaderLines val="1"/>
        </c:dLbls>
        <c:firstSliceAng val="0"/>
      </c:pieChart>
    </c:plotArea>
    <c:legend>
      <c:legendPos val="l"/>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table!$F$54</c:f>
              <c:strCache>
                <c:ptCount val="1"/>
                <c:pt idx="0">
                  <c:v>return on effort</c:v>
                </c:pt>
              </c:strCache>
            </c:strRef>
          </c:tx>
          <c:spPr>
            <a:ln w="28575">
              <a:noFill/>
            </a:ln>
          </c:spPr>
          <c:dLbls>
            <c:dLbl>
              <c:idx val="10"/>
              <c:layout/>
              <c:tx>
                <c:rich>
                  <a:bodyPr/>
                  <a:lstStyle/>
                  <a:p>
                    <a:r>
                      <a:rPr lang="en-US"/>
                      <a:t>3.23</a:t>
                    </a:r>
                  </a:p>
                </c:rich>
              </c:tx>
              <c:showLegendKey val="0"/>
              <c:showVal val="1"/>
              <c:showCatName val="0"/>
              <c:showSerName val="0"/>
              <c:showPercent val="0"/>
              <c:showBubbleSize val="0"/>
              <c:extLst>
                <c:ext xmlns:c15="http://schemas.microsoft.com/office/drawing/2012/chart" uri="{CE6537A1-D6FC-4f65-9D91-7224C49458BB}">
                  <c15:layout/>
                </c:ext>
              </c:extLst>
            </c:dLbl>
            <c:dLbl>
              <c:idx val="11"/>
              <c:layout/>
              <c:tx>
                <c:rich>
                  <a:bodyPr/>
                  <a:lstStyle/>
                  <a:p>
                    <a:fld id="{7F7D8F60-9596-4CD1-B211-788AEFF90F4F}" type="YVALUE">
                      <a:rPr lang="en-US"/>
                      <a:pPr/>
                      <a:t>[Y VALUE]</a:t>
                    </a:fld>
                    <a:r>
                      <a:rPr lang="en-US"/>
                      <a:t> Selected </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table!$G$55:$AB$55</c:f>
              <c:numCache>
                <c:formatCode>0.00</c:formatCode>
                <c:ptCount val="22"/>
                <c:pt idx="0">
                  <c:v>8.1499999999999986</c:v>
                </c:pt>
                <c:pt idx="1">
                  <c:v>8.1499999999999986</c:v>
                </c:pt>
                <c:pt idx="2">
                  <c:v>4.2</c:v>
                </c:pt>
                <c:pt idx="3">
                  <c:v>13.749999999999998</c:v>
                </c:pt>
                <c:pt idx="4">
                  <c:v>8.4</c:v>
                </c:pt>
                <c:pt idx="5">
                  <c:v>8.1499999999999986</c:v>
                </c:pt>
                <c:pt idx="6">
                  <c:v>8.35</c:v>
                </c:pt>
                <c:pt idx="7">
                  <c:v>7.9499999999999984</c:v>
                </c:pt>
                <c:pt idx="8">
                  <c:v>8.35</c:v>
                </c:pt>
                <c:pt idx="9">
                  <c:v>8.1499999999999986</c:v>
                </c:pt>
                <c:pt idx="10">
                  <c:v>8.1499999999999986</c:v>
                </c:pt>
                <c:pt idx="11">
                  <c:v>5.6499999999999995</c:v>
                </c:pt>
                <c:pt idx="12">
                  <c:v>0</c:v>
                </c:pt>
                <c:pt idx="13">
                  <c:v>0</c:v>
                </c:pt>
                <c:pt idx="14">
                  <c:v>0</c:v>
                </c:pt>
                <c:pt idx="15">
                  <c:v>0</c:v>
                </c:pt>
                <c:pt idx="16">
                  <c:v>0</c:v>
                </c:pt>
                <c:pt idx="17">
                  <c:v>0</c:v>
                </c:pt>
                <c:pt idx="18">
                  <c:v>0</c:v>
                </c:pt>
                <c:pt idx="19">
                  <c:v>0</c:v>
                </c:pt>
                <c:pt idx="20">
                  <c:v>0</c:v>
                </c:pt>
                <c:pt idx="21">
                  <c:v>0</c:v>
                </c:pt>
              </c:numCache>
            </c:numRef>
          </c:xVal>
          <c:yVal>
            <c:numRef>
              <c:f>table!$G$54:$AB$54</c:f>
              <c:numCache>
                <c:formatCode>0.00</c:formatCode>
                <c:ptCount val="22"/>
                <c:pt idx="0">
                  <c:v>3.1290988440669976</c:v>
                </c:pt>
                <c:pt idx="1">
                  <c:v>3.540582684595424</c:v>
                </c:pt>
                <c:pt idx="2">
                  <c:v>3.0803609341825906</c:v>
                </c:pt>
                <c:pt idx="3">
                  <c:v>3.7159212078320367</c:v>
                </c:pt>
                <c:pt idx="4">
                  <c:v>2.8921467327199815</c:v>
                </c:pt>
                <c:pt idx="5">
                  <c:v>3.5069757018164669</c:v>
                </c:pt>
                <c:pt idx="6">
                  <c:v>3.527829676810569</c:v>
                </c:pt>
                <c:pt idx="7">
                  <c:v>3.5342368483132822</c:v>
                </c:pt>
                <c:pt idx="8">
                  <c:v>3.527829676810569</c:v>
                </c:pt>
                <c:pt idx="9">
                  <c:v>3.540582684595424</c:v>
                </c:pt>
                <c:pt idx="10">
                  <c:v>3.2328308563340413</c:v>
                </c:pt>
                <c:pt idx="11">
                  <c:v>1.1850955414012738</c:v>
                </c:pt>
                <c:pt idx="12">
                  <c:v>0</c:v>
                </c:pt>
                <c:pt idx="13">
                  <c:v>0</c:v>
                </c:pt>
                <c:pt idx="14">
                  <c:v>0</c:v>
                </c:pt>
                <c:pt idx="15">
                  <c:v>0</c:v>
                </c:pt>
                <c:pt idx="16">
                  <c:v>0</c:v>
                </c:pt>
                <c:pt idx="17">
                  <c:v>0</c:v>
                </c:pt>
                <c:pt idx="18">
                  <c:v>0</c:v>
                </c:pt>
                <c:pt idx="19">
                  <c:v>0</c:v>
                </c:pt>
                <c:pt idx="20">
                  <c:v>0</c:v>
                </c:pt>
                <c:pt idx="21">
                  <c:v>0</c:v>
                </c:pt>
              </c:numCache>
            </c:numRef>
          </c:yVal>
          <c:smooth val="0"/>
        </c:ser>
        <c:dLbls>
          <c:showLegendKey val="0"/>
          <c:showVal val="1"/>
          <c:showCatName val="0"/>
          <c:showSerName val="0"/>
          <c:showPercent val="0"/>
          <c:showBubbleSize val="0"/>
        </c:dLbls>
        <c:axId val="250457672"/>
        <c:axId val="247768584"/>
      </c:scatterChart>
      <c:valAx>
        <c:axId val="250457672"/>
        <c:scaling>
          <c:orientation val="minMax"/>
        </c:scaling>
        <c:delete val="0"/>
        <c:axPos val="b"/>
        <c:title>
          <c:tx>
            <c:rich>
              <a:bodyPr/>
              <a:lstStyle/>
              <a:p>
                <a:pPr>
                  <a:defRPr/>
                </a:pPr>
                <a:r>
                  <a:rPr lang="en-US"/>
                  <a:t>annual weeks</a:t>
                </a:r>
              </a:p>
            </c:rich>
          </c:tx>
          <c:layout/>
          <c:overlay val="0"/>
        </c:title>
        <c:numFmt formatCode="0.00" sourceLinked="0"/>
        <c:majorTickMark val="out"/>
        <c:minorTickMark val="none"/>
        <c:tickLblPos val="nextTo"/>
        <c:crossAx val="247768584"/>
        <c:crosses val="autoZero"/>
        <c:crossBetween val="midCat"/>
      </c:valAx>
      <c:valAx>
        <c:axId val="247768584"/>
        <c:scaling>
          <c:orientation val="minMax"/>
        </c:scaling>
        <c:delete val="0"/>
        <c:axPos val="l"/>
        <c:majorGridlines>
          <c:spPr>
            <a:ln>
              <a:noFill/>
            </a:ln>
          </c:spPr>
        </c:majorGridlines>
        <c:title>
          <c:tx>
            <c:rich>
              <a:bodyPr rot="-5400000" vert="horz"/>
              <a:lstStyle/>
              <a:p>
                <a:pPr>
                  <a:defRPr/>
                </a:pPr>
                <a:r>
                  <a:rPr lang="en-US"/>
                  <a:t>Portfolio Total Benefit</a:t>
                </a:r>
              </a:p>
            </c:rich>
          </c:tx>
          <c:layout/>
          <c:overlay val="0"/>
        </c:title>
        <c:numFmt formatCode="0.00" sourceLinked="1"/>
        <c:majorTickMark val="out"/>
        <c:minorTickMark val="none"/>
        <c:tickLblPos val="nextTo"/>
        <c:crossAx val="250457672"/>
        <c:crosses val="autoZero"/>
        <c:crossBetween val="midCat"/>
      </c:valAx>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11"/>
  <sheetViews>
    <sheetView zoomScale="105" workbookViewId="0" zoomToFit="1"/>
  </sheetViews>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85902</xdr:colOff>
      <xdr:row>4</xdr:row>
      <xdr:rowOff>59921</xdr:rowOff>
    </xdr:from>
    <xdr:to>
      <xdr:col>17</xdr:col>
      <xdr:colOff>90057</xdr:colOff>
      <xdr:row>25</xdr:row>
      <xdr:rowOff>166255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7</xdr:row>
          <xdr:rowOff>38100</xdr:rowOff>
        </xdr:from>
        <xdr:to>
          <xdr:col>5</xdr:col>
          <xdr:colOff>266700</xdr:colOff>
          <xdr:row>13</xdr:row>
          <xdr:rowOff>47625</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0" tIns="45720" rIns="91440" bIns="45720" anchor="ctr" upright="1"/>
            <a:lstStyle/>
            <a:p>
              <a:pPr algn="ctr" rtl="0">
                <a:defRPr sz="1000"/>
              </a:pPr>
              <a:r>
                <a:rPr lang="en-US" sz="1200" b="0" i="0" u="none" strike="noStrike" baseline="0">
                  <a:solidFill>
                    <a:srgbClr val="000000"/>
                  </a:solidFill>
                  <a:latin typeface="Calibri"/>
                </a:rPr>
                <a:t>Capture Portfolio in Summary table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8672286"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5"/>
  <sheetViews>
    <sheetView tabSelected="1" zoomScale="90" zoomScaleNormal="90" workbookViewId="0">
      <selection activeCell="N32" sqref="N32"/>
    </sheetView>
  </sheetViews>
  <sheetFormatPr defaultColWidth="9.140625" defaultRowHeight="15" x14ac:dyDescent="0.25"/>
  <cols>
    <col min="1" max="1" width="24.85546875" style="15" customWidth="1"/>
    <col min="2" max="2" width="12.7109375" style="15" hidden="1" customWidth="1"/>
    <col min="3" max="3" width="15.7109375" style="15" hidden="1" customWidth="1"/>
    <col min="4" max="7" width="8.85546875" style="15" hidden="1" customWidth="1"/>
    <col min="8" max="8" width="9.140625" style="15"/>
    <col min="9" max="9" width="15" style="15" customWidth="1"/>
    <col min="10" max="13" width="9.140625" style="15"/>
    <col min="14" max="14" width="24.28515625" style="15" customWidth="1"/>
    <col min="15" max="16" width="10.5703125" style="15" customWidth="1"/>
    <col min="17" max="19" width="10.5703125" style="15" bestFit="1" customWidth="1"/>
    <col min="20" max="16384" width="9.140625" style="15"/>
  </cols>
  <sheetData>
    <row r="1" spans="1:10" x14ac:dyDescent="0.25">
      <c r="A1" s="21" t="s">
        <v>30</v>
      </c>
    </row>
    <row r="2" spans="1:10" x14ac:dyDescent="0.25">
      <c r="A2" s="21" t="s">
        <v>31</v>
      </c>
    </row>
    <row r="3" spans="1:10" x14ac:dyDescent="0.25">
      <c r="A3" s="21" t="s">
        <v>32</v>
      </c>
    </row>
    <row r="4" spans="1:10" x14ac:dyDescent="0.25">
      <c r="A4" s="21"/>
    </row>
    <row r="5" spans="1:10" x14ac:dyDescent="0.25">
      <c r="A5" s="22" t="s">
        <v>33</v>
      </c>
      <c r="B5" s="17"/>
      <c r="C5" s="17"/>
      <c r="D5" s="17"/>
      <c r="E5" s="17"/>
      <c r="F5" s="17"/>
      <c r="G5" s="17"/>
      <c r="H5" s="86">
        <f>SUM($J$8:$J$22)</f>
        <v>51.388000000000005</v>
      </c>
    </row>
    <row r="6" spans="1:10" x14ac:dyDescent="0.25">
      <c r="A6" s="23" t="s">
        <v>34</v>
      </c>
      <c r="B6" s="16"/>
      <c r="C6" s="16"/>
      <c r="D6" s="16"/>
      <c r="E6" s="16"/>
      <c r="F6" s="16"/>
      <c r="G6" s="16"/>
      <c r="H6" s="87">
        <f>SUM(J14:J16,J19:J20)</f>
        <v>8.2680000000000007</v>
      </c>
    </row>
    <row r="7" spans="1:10" ht="15.75" thickBot="1" x14ac:dyDescent="0.3">
      <c r="A7" s="24" t="s">
        <v>27</v>
      </c>
      <c r="B7" s="25" t="s">
        <v>26</v>
      </c>
      <c r="C7" s="25" t="s">
        <v>25</v>
      </c>
      <c r="D7" s="25" t="s">
        <v>24</v>
      </c>
      <c r="E7" s="25" t="s">
        <v>23</v>
      </c>
      <c r="F7" s="25"/>
      <c r="G7" s="25"/>
      <c r="H7" s="25" t="s">
        <v>22</v>
      </c>
      <c r="I7" s="26" t="s">
        <v>35</v>
      </c>
      <c r="J7" s="27" t="s">
        <v>21</v>
      </c>
    </row>
    <row r="8" spans="1:10" x14ac:dyDescent="0.25">
      <c r="A8" s="28" t="s">
        <v>20</v>
      </c>
      <c r="B8" s="29">
        <f t="shared" ref="B8:B22" si="0">SUM(C8/2080)</f>
        <v>0.2</v>
      </c>
      <c r="C8" s="29">
        <f t="shared" ref="C8:C22" si="1">SUM(E8*52)</f>
        <v>416</v>
      </c>
      <c r="D8" s="29">
        <f t="shared" ref="D8:D22" si="2">SUM(C8/40)</f>
        <v>10.4</v>
      </c>
      <c r="E8" s="29">
        <v>8</v>
      </c>
      <c r="F8" s="29"/>
      <c r="G8" s="29"/>
      <c r="H8" s="30">
        <v>0</v>
      </c>
      <c r="I8" s="29">
        <f t="shared" ref="I8:I22" si="3">J8*40</f>
        <v>0</v>
      </c>
      <c r="J8" s="31">
        <f>H8/100*52</f>
        <v>0</v>
      </c>
    </row>
    <row r="9" spans="1:10" x14ac:dyDescent="0.25">
      <c r="A9" s="28" t="s">
        <v>19</v>
      </c>
      <c r="B9" s="29">
        <f t="shared" si="0"/>
        <v>0.05</v>
      </c>
      <c r="C9" s="29">
        <f t="shared" si="1"/>
        <v>104</v>
      </c>
      <c r="D9" s="29">
        <f t="shared" si="2"/>
        <v>2.6</v>
      </c>
      <c r="E9" s="29">
        <v>2</v>
      </c>
      <c r="F9" s="29"/>
      <c r="G9" s="29"/>
      <c r="H9" s="30">
        <v>17.8</v>
      </c>
      <c r="I9" s="29">
        <f t="shared" si="3"/>
        <v>370.24</v>
      </c>
      <c r="J9" s="31">
        <f>H9/100*52</f>
        <v>9.2560000000000002</v>
      </c>
    </row>
    <row r="10" spans="1:10" x14ac:dyDescent="0.25">
      <c r="A10" s="28" t="s">
        <v>18</v>
      </c>
      <c r="B10" s="29">
        <f t="shared" si="0"/>
        <v>2.5000000000000001E-2</v>
      </c>
      <c r="C10" s="29">
        <f t="shared" si="1"/>
        <v>52</v>
      </c>
      <c r="D10" s="29">
        <f t="shared" si="2"/>
        <v>1.3</v>
      </c>
      <c r="E10" s="29">
        <v>1</v>
      </c>
      <c r="F10" s="29"/>
      <c r="G10" s="29"/>
      <c r="H10" s="30">
        <v>3.1</v>
      </c>
      <c r="I10" s="29">
        <f t="shared" si="3"/>
        <v>40</v>
      </c>
      <c r="J10" s="31">
        <v>1</v>
      </c>
    </row>
    <row r="11" spans="1:10" x14ac:dyDescent="0.25">
      <c r="A11" s="28" t="s">
        <v>17</v>
      </c>
      <c r="B11" s="29">
        <f t="shared" si="0"/>
        <v>0.15</v>
      </c>
      <c r="C11" s="29">
        <f t="shared" si="1"/>
        <v>312</v>
      </c>
      <c r="D11" s="29">
        <f t="shared" si="2"/>
        <v>7.8</v>
      </c>
      <c r="E11" s="29">
        <v>6</v>
      </c>
      <c r="F11" s="29"/>
      <c r="G11" s="29"/>
      <c r="H11" s="30">
        <v>17.3</v>
      </c>
      <c r="I11" s="29">
        <f t="shared" si="3"/>
        <v>359.84000000000003</v>
      </c>
      <c r="J11" s="31">
        <f t="shared" ref="J11:J22" si="4">H11/100*52</f>
        <v>8.9960000000000004</v>
      </c>
    </row>
    <row r="12" spans="1:10" x14ac:dyDescent="0.25">
      <c r="A12" s="28" t="s">
        <v>16</v>
      </c>
      <c r="B12" s="29">
        <f t="shared" si="0"/>
        <v>0.1</v>
      </c>
      <c r="C12" s="29">
        <f t="shared" si="1"/>
        <v>208</v>
      </c>
      <c r="D12" s="29">
        <f t="shared" si="2"/>
        <v>5.2</v>
      </c>
      <c r="E12" s="29">
        <v>4</v>
      </c>
      <c r="F12" s="29"/>
      <c r="G12" s="29"/>
      <c r="H12" s="30">
        <v>8.5</v>
      </c>
      <c r="I12" s="29">
        <f t="shared" si="3"/>
        <v>176.8</v>
      </c>
      <c r="J12" s="31">
        <f t="shared" si="4"/>
        <v>4.42</v>
      </c>
    </row>
    <row r="13" spans="1:10" x14ac:dyDescent="0.25">
      <c r="A13" s="28" t="s">
        <v>15</v>
      </c>
      <c r="B13" s="29">
        <f t="shared" si="0"/>
        <v>0.2</v>
      </c>
      <c r="C13" s="29">
        <f t="shared" si="1"/>
        <v>416</v>
      </c>
      <c r="D13" s="29">
        <f t="shared" si="2"/>
        <v>10.4</v>
      </c>
      <c r="E13" s="29">
        <v>8</v>
      </c>
      <c r="F13" s="29"/>
      <c r="G13" s="29"/>
      <c r="H13" s="30">
        <v>20</v>
      </c>
      <c r="I13" s="29">
        <f t="shared" si="3"/>
        <v>416</v>
      </c>
      <c r="J13" s="31">
        <f t="shared" si="4"/>
        <v>10.4</v>
      </c>
    </row>
    <row r="14" spans="1:10" x14ac:dyDescent="0.25">
      <c r="A14" s="32" t="s">
        <v>14</v>
      </c>
      <c r="B14" s="29">
        <f t="shared" si="0"/>
        <v>0.2</v>
      </c>
      <c r="C14" s="29">
        <f t="shared" si="1"/>
        <v>416</v>
      </c>
      <c r="D14" s="29">
        <f t="shared" si="2"/>
        <v>10.4</v>
      </c>
      <c r="E14" s="29">
        <v>8</v>
      </c>
      <c r="F14" s="29"/>
      <c r="G14" s="29"/>
      <c r="H14" s="30">
        <v>7.5</v>
      </c>
      <c r="I14" s="33">
        <f t="shared" si="3"/>
        <v>156</v>
      </c>
      <c r="J14" s="34">
        <f t="shared" si="4"/>
        <v>3.9</v>
      </c>
    </row>
    <row r="15" spans="1:10" x14ac:dyDescent="0.25">
      <c r="A15" s="32" t="s">
        <v>13</v>
      </c>
      <c r="B15" s="29">
        <f t="shared" si="0"/>
        <v>0.1</v>
      </c>
      <c r="C15" s="29">
        <f t="shared" si="1"/>
        <v>208</v>
      </c>
      <c r="D15" s="29">
        <f t="shared" si="2"/>
        <v>5.2</v>
      </c>
      <c r="E15" s="29">
        <v>4</v>
      </c>
      <c r="F15" s="29"/>
      <c r="G15" s="29"/>
      <c r="H15" s="30">
        <v>1.9</v>
      </c>
      <c r="I15" s="33">
        <f t="shared" si="3"/>
        <v>39.519999999999996</v>
      </c>
      <c r="J15" s="34">
        <f t="shared" si="4"/>
        <v>0.98799999999999999</v>
      </c>
    </row>
    <row r="16" spans="1:10" x14ac:dyDescent="0.25">
      <c r="A16" s="32" t="s">
        <v>12</v>
      </c>
      <c r="B16" s="29">
        <f t="shared" si="0"/>
        <v>0.15</v>
      </c>
      <c r="C16" s="29">
        <f t="shared" si="1"/>
        <v>312</v>
      </c>
      <c r="D16" s="29">
        <f t="shared" si="2"/>
        <v>7.8</v>
      </c>
      <c r="E16" s="29">
        <v>6</v>
      </c>
      <c r="F16" s="29"/>
      <c r="G16" s="29"/>
      <c r="H16" s="30">
        <v>0</v>
      </c>
      <c r="I16" s="33">
        <f t="shared" si="3"/>
        <v>0</v>
      </c>
      <c r="J16" s="34">
        <f t="shared" si="4"/>
        <v>0</v>
      </c>
    </row>
    <row r="17" spans="1:10" x14ac:dyDescent="0.25">
      <c r="A17" s="28" t="s">
        <v>11</v>
      </c>
      <c r="B17" s="29">
        <f t="shared" si="0"/>
        <v>1.2500000000000001E-2</v>
      </c>
      <c r="C17" s="29">
        <f t="shared" si="1"/>
        <v>26</v>
      </c>
      <c r="D17" s="29">
        <f t="shared" si="2"/>
        <v>0.65</v>
      </c>
      <c r="E17" s="29">
        <v>0.5</v>
      </c>
      <c r="F17" s="29"/>
      <c r="G17" s="29"/>
      <c r="H17" s="30">
        <v>0</v>
      </c>
      <c r="I17" s="29">
        <f t="shared" si="3"/>
        <v>0</v>
      </c>
      <c r="J17" s="31">
        <f t="shared" si="4"/>
        <v>0</v>
      </c>
    </row>
    <row r="18" spans="1:10" x14ac:dyDescent="0.25">
      <c r="A18" s="28" t="s">
        <v>10</v>
      </c>
      <c r="B18" s="29">
        <f t="shared" si="0"/>
        <v>2.5000000000000001E-2</v>
      </c>
      <c r="C18" s="29">
        <f t="shared" si="1"/>
        <v>52</v>
      </c>
      <c r="D18" s="29">
        <f t="shared" si="2"/>
        <v>1.3</v>
      </c>
      <c r="E18" s="29">
        <v>1</v>
      </c>
      <c r="F18" s="29"/>
      <c r="G18" s="29"/>
      <c r="H18" s="30">
        <v>13.5</v>
      </c>
      <c r="I18" s="29">
        <f t="shared" si="3"/>
        <v>280.8</v>
      </c>
      <c r="J18" s="31">
        <f t="shared" si="4"/>
        <v>7.0200000000000005</v>
      </c>
    </row>
    <row r="19" spans="1:10" x14ac:dyDescent="0.25">
      <c r="A19" s="32" t="s">
        <v>9</v>
      </c>
      <c r="B19" s="29">
        <f t="shared" si="0"/>
        <v>2.5000000000000001E-2</v>
      </c>
      <c r="C19" s="29">
        <f t="shared" si="1"/>
        <v>52</v>
      </c>
      <c r="D19" s="29">
        <f t="shared" si="2"/>
        <v>1.3</v>
      </c>
      <c r="E19" s="29">
        <v>1</v>
      </c>
      <c r="F19" s="29"/>
      <c r="G19" s="29"/>
      <c r="H19" s="30">
        <v>0</v>
      </c>
      <c r="I19" s="33">
        <f t="shared" si="3"/>
        <v>0</v>
      </c>
      <c r="J19" s="34">
        <f t="shared" si="4"/>
        <v>0</v>
      </c>
    </row>
    <row r="20" spans="1:10" x14ac:dyDescent="0.25">
      <c r="A20" s="32" t="s">
        <v>8</v>
      </c>
      <c r="B20" s="29">
        <f t="shared" si="0"/>
        <v>2.5000000000000001E-2</v>
      </c>
      <c r="C20" s="29">
        <f t="shared" si="1"/>
        <v>52</v>
      </c>
      <c r="D20" s="29">
        <f t="shared" si="2"/>
        <v>1.3</v>
      </c>
      <c r="E20" s="29">
        <v>1</v>
      </c>
      <c r="F20" s="29"/>
      <c r="G20" s="29"/>
      <c r="H20" s="30">
        <v>6.5</v>
      </c>
      <c r="I20" s="33">
        <f t="shared" si="3"/>
        <v>135.19999999999999</v>
      </c>
      <c r="J20" s="34">
        <f t="shared" si="4"/>
        <v>3.38</v>
      </c>
    </row>
    <row r="21" spans="1:10" x14ac:dyDescent="0.25">
      <c r="A21" s="28" t="s">
        <v>7</v>
      </c>
      <c r="B21" s="29">
        <f t="shared" si="0"/>
        <v>2.5000000000000001E-2</v>
      </c>
      <c r="C21" s="29">
        <f t="shared" si="1"/>
        <v>52</v>
      </c>
      <c r="D21" s="29">
        <f t="shared" si="2"/>
        <v>1.3</v>
      </c>
      <c r="E21" s="29">
        <v>1</v>
      </c>
      <c r="F21" s="29"/>
      <c r="G21" s="29"/>
      <c r="H21" s="30">
        <v>0</v>
      </c>
      <c r="I21" s="29">
        <f t="shared" si="3"/>
        <v>0</v>
      </c>
      <c r="J21" s="31">
        <f t="shared" si="4"/>
        <v>0</v>
      </c>
    </row>
    <row r="22" spans="1:10" x14ac:dyDescent="0.25">
      <c r="A22" s="35" t="s">
        <v>6</v>
      </c>
      <c r="B22" s="36">
        <f t="shared" si="0"/>
        <v>1.2500000000000001E-2</v>
      </c>
      <c r="C22" s="36">
        <f t="shared" si="1"/>
        <v>26</v>
      </c>
      <c r="D22" s="36">
        <f t="shared" si="2"/>
        <v>0.65</v>
      </c>
      <c r="E22" s="36">
        <v>0.5</v>
      </c>
      <c r="F22" s="36"/>
      <c r="G22" s="36"/>
      <c r="H22" s="30">
        <v>3.9</v>
      </c>
      <c r="I22" s="36">
        <f t="shared" si="3"/>
        <v>81.12</v>
      </c>
      <c r="J22" s="37">
        <f t="shared" si="4"/>
        <v>2.028</v>
      </c>
    </row>
    <row r="23" spans="1:10" x14ac:dyDescent="0.25">
      <c r="B23" s="15">
        <f>SUM(B8:B22)</f>
        <v>1.2999999999999996</v>
      </c>
      <c r="C23" s="15">
        <f>SUM(C8:C22)</f>
        <v>2704</v>
      </c>
      <c r="D23" s="15">
        <f>SUM(D8:D22)</f>
        <v>67.599999999999994</v>
      </c>
      <c r="E23" s="15">
        <f>SUM(E8:E22)</f>
        <v>52</v>
      </c>
      <c r="H23" s="15">
        <f>SUM(H8:H22)</f>
        <v>100.00000000000001</v>
      </c>
    </row>
    <row r="25" spans="1:10" x14ac:dyDescent="0.25">
      <c r="J25" s="15">
        <f>SUM(J14+J15+J19+J20)</f>
        <v>8.2680000000000007</v>
      </c>
    </row>
  </sheetData>
  <conditionalFormatting sqref="H5">
    <cfRule type="cellIs" dxfId="1" priority="1" operator="greaterThan">
      <formula>52</formula>
    </cfRule>
    <cfRule type="cellIs" dxfId="0" priority="2" operator="greaterThan">
      <formula>52</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7"/>
  <sheetViews>
    <sheetView workbookViewId="0">
      <selection activeCell="M20" sqref="M20"/>
    </sheetView>
  </sheetViews>
  <sheetFormatPr defaultRowHeight="15" x14ac:dyDescent="0.25"/>
  <cols>
    <col min="1" max="1" width="49.28515625" customWidth="1"/>
    <col min="3" max="3" width="12" style="89" customWidth="1"/>
    <col min="4" max="4" width="11.140625" style="89" hidden="1" customWidth="1"/>
    <col min="5" max="5" width="0" hidden="1" customWidth="1"/>
    <col min="7" max="7" width="9.5703125" hidden="1" customWidth="1"/>
    <col min="10" max="10" width="15.5703125" style="142" customWidth="1"/>
    <col min="11" max="11" width="10.7109375" customWidth="1"/>
  </cols>
  <sheetData>
    <row r="1" spans="1:10" ht="15.75" thickBot="1" x14ac:dyDescent="0.3">
      <c r="A1" s="90" t="s">
        <v>29</v>
      </c>
      <c r="B1" s="90" t="s">
        <v>84</v>
      </c>
      <c r="C1" s="91" t="s">
        <v>1</v>
      </c>
      <c r="D1" s="91" t="s">
        <v>86</v>
      </c>
      <c r="E1" s="90" t="s">
        <v>87</v>
      </c>
      <c r="F1" s="90" t="s">
        <v>88</v>
      </c>
    </row>
    <row r="2" spans="1:10" x14ac:dyDescent="0.25">
      <c r="A2" s="114" t="s">
        <v>134</v>
      </c>
      <c r="B2" s="115">
        <v>1</v>
      </c>
      <c r="C2" s="116">
        <v>0.74182590233545653</v>
      </c>
      <c r="D2" s="117" t="s">
        <v>5</v>
      </c>
      <c r="E2" s="115" t="s">
        <v>37</v>
      </c>
      <c r="F2" s="115">
        <v>1</v>
      </c>
      <c r="G2" s="75" t="s">
        <v>95</v>
      </c>
      <c r="H2" s="75" t="s">
        <v>94</v>
      </c>
      <c r="I2" s="77" t="s">
        <v>88</v>
      </c>
      <c r="J2" s="150" t="s">
        <v>156</v>
      </c>
    </row>
    <row r="3" spans="1:10" x14ac:dyDescent="0.25">
      <c r="A3" s="114" t="s">
        <v>135</v>
      </c>
      <c r="B3" s="115">
        <v>2</v>
      </c>
      <c r="C3" s="116">
        <v>0.73375796178343955</v>
      </c>
      <c r="D3" s="117">
        <f>((C2-C3)/C2)*100</f>
        <v>1.087578706353749</v>
      </c>
      <c r="E3" s="115" t="s">
        <v>38</v>
      </c>
      <c r="F3" s="115">
        <v>1</v>
      </c>
      <c r="G3" s="78">
        <f>_xlfn.PERCENTILE.EXC(C3:C28,0.9)</f>
        <v>0.70488322717622087</v>
      </c>
      <c r="H3" s="78" t="s">
        <v>89</v>
      </c>
      <c r="I3" s="92">
        <v>1</v>
      </c>
      <c r="J3" s="142">
        <f>PERCENTILE($C$2:$C$19,0.9)</f>
        <v>0.70849256900212321</v>
      </c>
    </row>
    <row r="4" spans="1:10" x14ac:dyDescent="0.25">
      <c r="A4" s="118" t="s">
        <v>136</v>
      </c>
      <c r="B4" s="119">
        <v>3</v>
      </c>
      <c r="C4" s="120">
        <v>0.6976645435244162</v>
      </c>
      <c r="D4" s="121">
        <f t="shared" ref="D4:D19" si="0">((C3-C4)/C3)*100</f>
        <v>4.9189814814814801</v>
      </c>
      <c r="E4" s="119" t="s">
        <v>39</v>
      </c>
      <c r="F4" s="119">
        <v>2</v>
      </c>
      <c r="G4" s="78">
        <f>_xlfn.PERCENTILE.EXC(C4:C29,0.8)</f>
        <v>0.6730360934182591</v>
      </c>
      <c r="H4" s="78" t="s">
        <v>90</v>
      </c>
      <c r="I4" s="96">
        <v>2</v>
      </c>
      <c r="J4" s="142">
        <f>PERCENTILE($C$2:$C$19,0.8)</f>
        <v>0.68560509554140137</v>
      </c>
    </row>
    <row r="5" spans="1:10" x14ac:dyDescent="0.25">
      <c r="A5" s="122" t="s">
        <v>137</v>
      </c>
      <c r="B5" s="119">
        <v>4</v>
      </c>
      <c r="C5" s="120">
        <v>0.69341825902335463</v>
      </c>
      <c r="D5" s="121">
        <f t="shared" si="0"/>
        <v>0.60864272671941555</v>
      </c>
      <c r="E5" s="119" t="s">
        <v>40</v>
      </c>
      <c r="F5" s="119">
        <v>2</v>
      </c>
      <c r="G5" s="78">
        <f>_xlfn.PERCENTILE.EXC(C5:C30,0.7)</f>
        <v>0.64721868365180479</v>
      </c>
      <c r="H5" s="78" t="s">
        <v>91</v>
      </c>
      <c r="I5" s="93">
        <v>3</v>
      </c>
      <c r="J5" s="142">
        <f>PERCENTILE($C$2:$C$19,0.7)</f>
        <v>0.67053078556263279</v>
      </c>
    </row>
    <row r="6" spans="1:10" x14ac:dyDescent="0.25">
      <c r="A6" s="123" t="s">
        <v>138</v>
      </c>
      <c r="B6" s="124">
        <v>5</v>
      </c>
      <c r="C6" s="125">
        <v>0.67388535031847141</v>
      </c>
      <c r="D6" s="126">
        <f t="shared" si="0"/>
        <v>2.8169014084507031</v>
      </c>
      <c r="E6" s="124" t="s">
        <v>40</v>
      </c>
      <c r="F6" s="124">
        <v>3</v>
      </c>
      <c r="G6" s="78">
        <f>_xlfn.PERCENTILE.EXC(C6:C31,0.5)</f>
        <v>0.58216560509554149</v>
      </c>
      <c r="H6" s="78" t="s">
        <v>92</v>
      </c>
      <c r="I6" s="94">
        <v>4</v>
      </c>
      <c r="J6" s="142">
        <f>PERCENTILE($C$2:$C$19,0.5)</f>
        <v>0.63354564755838649</v>
      </c>
    </row>
    <row r="7" spans="1:10" x14ac:dyDescent="0.25">
      <c r="A7" s="123" t="s">
        <v>139</v>
      </c>
      <c r="B7" s="124">
        <v>6</v>
      </c>
      <c r="C7" s="125">
        <v>0.67176220806794062</v>
      </c>
      <c r="D7" s="126">
        <f t="shared" si="0"/>
        <v>0.31505986137366088</v>
      </c>
      <c r="E7" s="124" t="s">
        <v>40</v>
      </c>
      <c r="F7" s="124">
        <v>3</v>
      </c>
      <c r="G7" s="80"/>
      <c r="H7" s="80" t="s">
        <v>93</v>
      </c>
      <c r="I7" s="95">
        <v>5</v>
      </c>
    </row>
    <row r="8" spans="1:10" x14ac:dyDescent="0.25">
      <c r="A8" s="127" t="s">
        <v>140</v>
      </c>
      <c r="B8" s="128">
        <v>7</v>
      </c>
      <c r="C8" s="129">
        <v>0.65944798301486207</v>
      </c>
      <c r="D8" s="130">
        <f t="shared" si="0"/>
        <v>1.8331226295828058</v>
      </c>
      <c r="E8" s="128" t="s">
        <v>40</v>
      </c>
      <c r="F8" s="128">
        <v>4</v>
      </c>
    </row>
    <row r="9" spans="1:10" x14ac:dyDescent="0.25">
      <c r="A9" s="127" t="s">
        <v>141</v>
      </c>
      <c r="B9" s="128">
        <v>8</v>
      </c>
      <c r="C9" s="129">
        <v>0.64416135881104042</v>
      </c>
      <c r="D9" s="130">
        <f t="shared" si="0"/>
        <v>2.3180940115904693</v>
      </c>
      <c r="E9" s="128" t="s">
        <v>40</v>
      </c>
      <c r="F9" s="128">
        <v>4</v>
      </c>
    </row>
    <row r="10" spans="1:10" x14ac:dyDescent="0.25">
      <c r="A10" s="127" t="s">
        <v>142</v>
      </c>
      <c r="B10" s="128">
        <v>9</v>
      </c>
      <c r="C10" s="129">
        <v>0.63354564755838649</v>
      </c>
      <c r="D10" s="130">
        <f t="shared" si="0"/>
        <v>1.6479894528675012</v>
      </c>
      <c r="E10" s="128" t="s">
        <v>40</v>
      </c>
      <c r="F10" s="128">
        <v>4</v>
      </c>
    </row>
    <row r="11" spans="1:10" x14ac:dyDescent="0.25">
      <c r="A11" s="127" t="s">
        <v>143</v>
      </c>
      <c r="B11" s="128">
        <v>10</v>
      </c>
      <c r="C11" s="129">
        <v>0.63354564755838649</v>
      </c>
      <c r="D11" s="130">
        <f t="shared" si="0"/>
        <v>0</v>
      </c>
      <c r="E11" s="128" t="s">
        <v>40</v>
      </c>
      <c r="F11" s="128">
        <v>4</v>
      </c>
    </row>
    <row r="12" spans="1:10" x14ac:dyDescent="0.25">
      <c r="A12" s="132" t="s">
        <v>144</v>
      </c>
      <c r="B12" s="133">
        <v>11</v>
      </c>
      <c r="C12" s="134">
        <v>0.58598726114649691</v>
      </c>
      <c r="D12" s="135">
        <f t="shared" si="0"/>
        <v>7.5067024128686306</v>
      </c>
      <c r="E12" s="133" t="s">
        <v>40</v>
      </c>
      <c r="F12" s="133">
        <v>5</v>
      </c>
    </row>
    <row r="13" spans="1:10" x14ac:dyDescent="0.25">
      <c r="A13" s="132" t="s">
        <v>145</v>
      </c>
      <c r="B13" s="133">
        <v>12</v>
      </c>
      <c r="C13" s="134">
        <v>0.57834394904458608</v>
      </c>
      <c r="D13" s="135">
        <f t="shared" si="0"/>
        <v>1.3043478260869561</v>
      </c>
      <c r="E13" s="133" t="s">
        <v>41</v>
      </c>
      <c r="F13" s="133">
        <v>5</v>
      </c>
    </row>
    <row r="14" spans="1:10" x14ac:dyDescent="0.25">
      <c r="A14" s="132" t="s">
        <v>146</v>
      </c>
      <c r="B14" s="133">
        <v>13</v>
      </c>
      <c r="C14" s="134">
        <v>0.56687898089171984</v>
      </c>
      <c r="D14" s="135">
        <f t="shared" si="0"/>
        <v>1.9823788546255499</v>
      </c>
      <c r="E14" s="133" t="s">
        <v>41</v>
      </c>
      <c r="F14" s="133">
        <v>5</v>
      </c>
    </row>
    <row r="15" spans="1:10" x14ac:dyDescent="0.25">
      <c r="A15" s="132" t="s">
        <v>147</v>
      </c>
      <c r="B15" s="133">
        <v>14</v>
      </c>
      <c r="C15" s="134">
        <v>0.45944798301486206</v>
      </c>
      <c r="D15" s="135">
        <f t="shared" si="0"/>
        <v>18.951310861423224</v>
      </c>
      <c r="E15" s="133" t="s">
        <v>42</v>
      </c>
      <c r="F15" s="133">
        <v>5</v>
      </c>
    </row>
    <row r="16" spans="1:10" x14ac:dyDescent="0.25">
      <c r="A16" s="132" t="s">
        <v>148</v>
      </c>
      <c r="B16" s="133">
        <v>15</v>
      </c>
      <c r="C16" s="134">
        <v>0.3830148619957538</v>
      </c>
      <c r="D16" s="135">
        <f t="shared" si="0"/>
        <v>16.635859519408498</v>
      </c>
      <c r="E16" s="133" t="s">
        <v>42</v>
      </c>
      <c r="F16" s="133">
        <v>5</v>
      </c>
    </row>
    <row r="17" spans="1:6" x14ac:dyDescent="0.25">
      <c r="A17" s="132" t="s">
        <v>149</v>
      </c>
      <c r="B17" s="133">
        <v>16</v>
      </c>
      <c r="C17" s="134">
        <v>0.3320594479830149</v>
      </c>
      <c r="D17" s="135">
        <f t="shared" si="0"/>
        <v>13.303769401330387</v>
      </c>
      <c r="E17" s="133" t="s">
        <v>42</v>
      </c>
      <c r="F17" s="133">
        <v>5</v>
      </c>
    </row>
    <row r="18" spans="1:6" x14ac:dyDescent="0.25">
      <c r="A18" s="132" t="s">
        <v>150</v>
      </c>
      <c r="B18" s="133">
        <v>17</v>
      </c>
      <c r="C18" s="134">
        <v>0.28747346072186847</v>
      </c>
      <c r="D18" s="135">
        <f t="shared" si="0"/>
        <v>13.42710997442453</v>
      </c>
      <c r="E18" s="133" t="s">
        <v>42</v>
      </c>
      <c r="F18" s="133">
        <v>5</v>
      </c>
    </row>
    <row r="19" spans="1:6" x14ac:dyDescent="0.25">
      <c r="A19" s="132" t="s">
        <v>151</v>
      </c>
      <c r="B19" s="133">
        <v>18</v>
      </c>
      <c r="C19" s="134">
        <v>0.21231422505307856</v>
      </c>
      <c r="D19" s="135">
        <f t="shared" si="0"/>
        <v>26.144756277695741</v>
      </c>
      <c r="E19" s="133" t="s">
        <v>42</v>
      </c>
      <c r="F19" s="133">
        <v>5</v>
      </c>
    </row>
    <row r="20" spans="1:6" x14ac:dyDescent="0.25">
      <c r="A20" s="131"/>
      <c r="B20" s="20"/>
      <c r="C20" s="88"/>
      <c r="D20" s="88"/>
      <c r="E20" s="20"/>
      <c r="F20" s="20"/>
    </row>
    <row r="21" spans="1:6" x14ac:dyDescent="0.25">
      <c r="A21" s="131"/>
      <c r="B21" s="20"/>
      <c r="C21" s="88"/>
      <c r="D21" s="88"/>
      <c r="E21" s="20"/>
      <c r="F21" s="20"/>
    </row>
    <row r="22" spans="1:6" x14ac:dyDescent="0.25">
      <c r="A22" s="131"/>
      <c r="B22" s="20"/>
      <c r="C22" s="88"/>
      <c r="D22" s="88"/>
      <c r="E22" s="20"/>
      <c r="F22" s="20"/>
    </row>
    <row r="23" spans="1:6" x14ac:dyDescent="0.25">
      <c r="A23" s="131"/>
      <c r="B23" s="20"/>
      <c r="C23" s="88"/>
      <c r="D23" s="88"/>
      <c r="E23" s="20"/>
      <c r="F23" s="20"/>
    </row>
    <row r="24" spans="1:6" x14ac:dyDescent="0.25">
      <c r="A24" s="131"/>
      <c r="B24" s="20"/>
      <c r="C24" s="88"/>
      <c r="D24" s="88"/>
      <c r="E24" s="20"/>
      <c r="F24" s="20"/>
    </row>
    <row r="25" spans="1:6" x14ac:dyDescent="0.25">
      <c r="A25" s="131"/>
      <c r="B25" s="20"/>
      <c r="C25" s="88"/>
      <c r="D25" s="88"/>
      <c r="E25" s="20"/>
      <c r="F25" s="20"/>
    </row>
    <row r="26" spans="1:6" x14ac:dyDescent="0.25">
      <c r="A26" s="131"/>
      <c r="B26" s="20"/>
      <c r="C26" s="88"/>
      <c r="D26" s="88"/>
      <c r="E26" s="20"/>
      <c r="F26" s="20"/>
    </row>
    <row r="27" spans="1:6" x14ac:dyDescent="0.25">
      <c r="A27" s="131"/>
      <c r="B27" s="20"/>
      <c r="C27" s="88"/>
      <c r="D27" s="88"/>
      <c r="E27" s="20"/>
      <c r="F27" s="20"/>
    </row>
  </sheetData>
  <pageMargins left="0.7" right="0.7" top="0.75" bottom="0.75" header="0.3" footer="0.3"/>
  <pageSetup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28"/>
  <sheetViews>
    <sheetView workbookViewId="0">
      <selection activeCell="H24" sqref="H24"/>
    </sheetView>
  </sheetViews>
  <sheetFormatPr defaultRowHeight="15" x14ac:dyDescent="0.25"/>
  <cols>
    <col min="1" max="1" width="23.140625" customWidth="1"/>
    <col min="3" max="3" width="12" style="89" customWidth="1"/>
    <col min="4" max="4" width="11.140625" style="89" hidden="1" customWidth="1"/>
    <col min="5" max="5" width="0" hidden="1" customWidth="1"/>
    <col min="6" max="6" width="7.85546875" customWidth="1"/>
    <col min="7" max="7" width="9.5703125" hidden="1" customWidth="1"/>
    <col min="8" max="8" width="18.140625" style="43" customWidth="1"/>
    <col min="9" max="9" width="9.5703125" hidden="1" customWidth="1"/>
    <col min="10" max="13" width="9.5703125" customWidth="1"/>
  </cols>
  <sheetData>
    <row r="1" spans="1:16" ht="65.25" thickBot="1" x14ac:dyDescent="0.3">
      <c r="A1" s="90" t="s">
        <v>29</v>
      </c>
      <c r="B1" s="90" t="s">
        <v>84</v>
      </c>
      <c r="C1" s="91" t="s">
        <v>1</v>
      </c>
      <c r="D1" s="91" t="s">
        <v>86</v>
      </c>
      <c r="E1" s="90" t="s">
        <v>87</v>
      </c>
      <c r="F1" s="90" t="s">
        <v>88</v>
      </c>
      <c r="H1" s="43" t="s">
        <v>96</v>
      </c>
      <c r="J1" s="39" t="s">
        <v>28</v>
      </c>
      <c r="K1" s="39" t="s">
        <v>153</v>
      </c>
      <c r="L1" s="39" t="s">
        <v>154</v>
      </c>
      <c r="M1" s="39" t="s">
        <v>155</v>
      </c>
    </row>
    <row r="2" spans="1:16" x14ac:dyDescent="0.25">
      <c r="A2" s="143" t="s">
        <v>146</v>
      </c>
      <c r="B2" s="97">
        <v>13</v>
      </c>
      <c r="C2" s="144">
        <v>0.56687898089171984</v>
      </c>
      <c r="D2" s="145" t="e">
        <f t="shared" ref="D2:D18" si="0">((C1-C2)/C1)*100</f>
        <v>#VALUE!</v>
      </c>
      <c r="E2" s="97" t="s">
        <v>41</v>
      </c>
      <c r="F2" s="97">
        <f>VLOOKUP(A2,'survey priority'!$A$2:$F$19,6,FALSE)</f>
        <v>5</v>
      </c>
      <c r="G2" s="99"/>
      <c r="H2" s="56">
        <v>0.7085987261146498</v>
      </c>
      <c r="I2" s="137"/>
      <c r="J2" s="139">
        <v>0.8</v>
      </c>
      <c r="K2" s="140"/>
      <c r="L2" s="140">
        <v>1</v>
      </c>
      <c r="M2" s="140"/>
      <c r="N2" s="76" t="s">
        <v>94</v>
      </c>
      <c r="O2" s="77" t="s">
        <v>88</v>
      </c>
    </row>
    <row r="3" spans="1:16" x14ac:dyDescent="0.25">
      <c r="A3" s="143" t="s">
        <v>139</v>
      </c>
      <c r="B3" s="97">
        <v>6</v>
      </c>
      <c r="C3" s="144">
        <v>0.67176220806794062</v>
      </c>
      <c r="D3" s="145">
        <f t="shared" si="0"/>
        <v>-18.501872659176023</v>
      </c>
      <c r="E3" s="97" t="s">
        <v>43</v>
      </c>
      <c r="F3" s="97">
        <f>VLOOKUP(A3,'survey priority'!$A$2:$F$19,6,FALSE)</f>
        <v>3</v>
      </c>
      <c r="G3" s="100"/>
      <c r="H3" s="56">
        <v>0.67176220806794062</v>
      </c>
      <c r="I3" s="79"/>
      <c r="J3" s="139">
        <v>1</v>
      </c>
      <c r="K3" s="140"/>
      <c r="L3" s="140">
        <v>1</v>
      </c>
      <c r="M3" s="140"/>
      <c r="N3" s="79" t="s">
        <v>89</v>
      </c>
      <c r="O3" s="92">
        <v>1</v>
      </c>
    </row>
    <row r="4" spans="1:16" x14ac:dyDescent="0.25">
      <c r="A4" s="143" t="s">
        <v>138</v>
      </c>
      <c r="B4" s="97">
        <v>5</v>
      </c>
      <c r="C4" s="144">
        <v>0.67388535031847141</v>
      </c>
      <c r="D4" s="145">
        <f t="shared" si="0"/>
        <v>-0.31605562579013896</v>
      </c>
      <c r="E4" s="97" t="s">
        <v>42</v>
      </c>
      <c r="F4" s="97">
        <f>VLOOKUP(A4,'survey priority'!$A$2:$F$19,6,FALSE)</f>
        <v>3</v>
      </c>
      <c r="G4" s="100"/>
      <c r="H4" s="56">
        <v>0.44925690021231429</v>
      </c>
      <c r="I4" s="79"/>
      <c r="J4" s="141">
        <v>0.1</v>
      </c>
      <c r="K4" s="140">
        <v>1</v>
      </c>
      <c r="L4" s="140"/>
      <c r="M4" s="140"/>
      <c r="N4" s="79" t="s">
        <v>90</v>
      </c>
      <c r="O4" s="96">
        <v>2</v>
      </c>
    </row>
    <row r="5" spans="1:16" x14ac:dyDescent="0.25">
      <c r="A5" s="143" t="s">
        <v>144</v>
      </c>
      <c r="B5" s="97">
        <v>11</v>
      </c>
      <c r="C5" s="144">
        <v>0.58598726114649691</v>
      </c>
      <c r="D5" s="145">
        <f t="shared" si="0"/>
        <v>13.043478260869563</v>
      </c>
      <c r="E5" s="97" t="s">
        <v>39</v>
      </c>
      <c r="F5" s="97">
        <f>VLOOKUP(A5,'survey priority'!$A$2:$F$19,6,FALSE)</f>
        <v>5</v>
      </c>
      <c r="G5" s="78">
        <f>_xlfn.PERCENTILE.EXC(C5:C30,0.8)</f>
        <v>0.69681528662420389</v>
      </c>
      <c r="H5" s="56">
        <v>0.39065817409766462</v>
      </c>
      <c r="J5" s="139">
        <v>0.1</v>
      </c>
      <c r="K5" s="140">
        <v>1</v>
      </c>
      <c r="L5" s="140"/>
      <c r="M5" s="140"/>
      <c r="N5" s="79" t="s">
        <v>91</v>
      </c>
      <c r="O5" s="93">
        <v>3</v>
      </c>
    </row>
    <row r="6" spans="1:16" x14ac:dyDescent="0.25">
      <c r="A6" s="143" t="s">
        <v>149</v>
      </c>
      <c r="B6" s="97">
        <v>16</v>
      </c>
      <c r="C6" s="144">
        <v>0.3320594479830149</v>
      </c>
      <c r="D6" s="145">
        <f t="shared" si="0"/>
        <v>43.333333333333336</v>
      </c>
      <c r="E6" s="97" t="s">
        <v>40</v>
      </c>
      <c r="F6" s="97">
        <f>VLOOKUP(A6,'survey priority'!$A$2:$F$19,6,FALSE)</f>
        <v>5</v>
      </c>
      <c r="G6" s="78">
        <f>_xlfn.PERCENTILE.EXC(C6:C31,0.5)</f>
        <v>0.63354564755838649</v>
      </c>
      <c r="H6" s="56">
        <v>0.27671620665251245</v>
      </c>
      <c r="J6" s="139">
        <v>0.6</v>
      </c>
      <c r="K6" s="140"/>
      <c r="L6" s="140"/>
      <c r="M6" s="140">
        <v>1</v>
      </c>
      <c r="N6" s="79" t="s">
        <v>92</v>
      </c>
      <c r="O6" s="94">
        <v>4</v>
      </c>
    </row>
    <row r="7" spans="1:16" x14ac:dyDescent="0.25">
      <c r="A7" s="146" t="s">
        <v>134</v>
      </c>
      <c r="B7" s="97">
        <v>1</v>
      </c>
      <c r="C7" s="144">
        <v>0.74182590233545653</v>
      </c>
      <c r="D7" s="145">
        <f t="shared" si="0"/>
        <v>-123.40153452685421</v>
      </c>
      <c r="E7" s="97" t="s">
        <v>40</v>
      </c>
      <c r="F7" s="97">
        <f>VLOOKUP(A7,'survey priority'!$A$2:$F$19,6,FALSE)</f>
        <v>1</v>
      </c>
      <c r="G7" s="101"/>
      <c r="H7" s="56">
        <v>0.2472753007784855</v>
      </c>
      <c r="I7" s="81"/>
      <c r="J7" s="139">
        <v>1</v>
      </c>
      <c r="K7" s="140"/>
      <c r="L7" s="140">
        <v>1</v>
      </c>
      <c r="M7" s="140"/>
      <c r="N7" s="81" t="s">
        <v>93</v>
      </c>
      <c r="O7" s="95">
        <v>5</v>
      </c>
    </row>
    <row r="8" spans="1:16" x14ac:dyDescent="0.25">
      <c r="A8" s="143" t="s">
        <v>140</v>
      </c>
      <c r="B8" s="97">
        <v>7</v>
      </c>
      <c r="C8" s="144">
        <v>0.65944798301486207</v>
      </c>
      <c r="D8" s="145">
        <f t="shared" si="0"/>
        <v>11.104751001717226</v>
      </c>
      <c r="E8" s="97" t="s">
        <v>40</v>
      </c>
      <c r="F8" s="97">
        <f>VLOOKUP(A8,'survey priority'!$A$2:$F$19,6,FALSE)</f>
        <v>4</v>
      </c>
      <c r="H8" s="56">
        <v>0.21981599433828736</v>
      </c>
      <c r="J8" s="41">
        <v>0.2</v>
      </c>
      <c r="K8" s="140">
        <v>1</v>
      </c>
      <c r="L8" s="140"/>
      <c r="M8" s="140"/>
    </row>
    <row r="9" spans="1:16" x14ac:dyDescent="0.25">
      <c r="A9" s="143" t="s">
        <v>151</v>
      </c>
      <c r="B9" s="97">
        <v>18</v>
      </c>
      <c r="C9" s="144">
        <v>0.21231422505307856</v>
      </c>
      <c r="D9" s="145">
        <f t="shared" si="0"/>
        <v>67.804249839021253</v>
      </c>
      <c r="E9" s="97" t="s">
        <v>45</v>
      </c>
      <c r="F9" s="97">
        <f>VLOOKUP(A9,'survey priority'!$A$2:$F$19,6,FALSE)</f>
        <v>5</v>
      </c>
      <c r="H9" s="56">
        <v>0.11795234725171033</v>
      </c>
      <c r="J9" s="41">
        <v>0.6</v>
      </c>
      <c r="K9" s="140"/>
      <c r="L9" s="140"/>
      <c r="M9" s="140">
        <v>1</v>
      </c>
    </row>
    <row r="10" spans="1:16" x14ac:dyDescent="0.25">
      <c r="A10" s="147" t="s">
        <v>136</v>
      </c>
      <c r="B10" s="97">
        <v>3</v>
      </c>
      <c r="C10" s="144">
        <v>0.6976645435244162</v>
      </c>
      <c r="D10" s="145">
        <f t="shared" si="0"/>
        <v>-228.6</v>
      </c>
      <c r="E10" s="97" t="s">
        <v>42</v>
      </c>
      <c r="F10" s="97">
        <f>VLOOKUP(A10,'survey priority'!$A$2:$F$19,6,FALSE)</f>
        <v>2</v>
      </c>
      <c r="G10" s="136"/>
      <c r="H10" s="56">
        <v>0.11627742392073603</v>
      </c>
      <c r="I10" s="79"/>
      <c r="J10" s="41">
        <v>0.4</v>
      </c>
      <c r="K10" s="140">
        <v>1</v>
      </c>
      <c r="L10" s="140"/>
      <c r="M10" s="140"/>
    </row>
    <row r="11" spans="1:16" x14ac:dyDescent="0.25">
      <c r="A11" s="143" t="s">
        <v>137</v>
      </c>
      <c r="B11" s="97">
        <v>4</v>
      </c>
      <c r="C11" s="144">
        <v>0.69341825902335463</v>
      </c>
      <c r="D11" s="145">
        <f t="shared" si="0"/>
        <v>0.60864272671941555</v>
      </c>
      <c r="E11" s="97" t="s">
        <v>45</v>
      </c>
      <c r="F11" s="97">
        <f>VLOOKUP(A11,'survey priority'!$A$2:$F$19,6,FALSE)</f>
        <v>2</v>
      </c>
      <c r="G11" s="136"/>
      <c r="H11" s="56">
        <v>0.11556970983722577</v>
      </c>
      <c r="I11" s="79"/>
      <c r="J11" s="41">
        <v>0.4</v>
      </c>
      <c r="K11" s="140"/>
      <c r="L11" s="140">
        <v>1</v>
      </c>
      <c r="M11" s="140"/>
    </row>
    <row r="12" spans="1:16" x14ac:dyDescent="0.25">
      <c r="A12" s="143" t="s">
        <v>145</v>
      </c>
      <c r="B12" s="97">
        <v>12</v>
      </c>
      <c r="C12" s="144">
        <v>0.57834394904458608</v>
      </c>
      <c r="D12" s="145">
        <f t="shared" si="0"/>
        <v>16.595223515003056</v>
      </c>
      <c r="E12" s="97" t="s">
        <v>41</v>
      </c>
      <c r="F12" s="97">
        <f>VLOOKUP(A12,'survey priority'!$A$2:$F$19,6,FALSE)</f>
        <v>5</v>
      </c>
      <c r="H12" s="56">
        <v>9.6390658174097685E-2</v>
      </c>
      <c r="J12" s="41">
        <v>2</v>
      </c>
      <c r="K12" s="140"/>
      <c r="L12" s="140"/>
      <c r="M12" s="140">
        <v>1</v>
      </c>
    </row>
    <row r="13" spans="1:16" x14ac:dyDescent="0.25">
      <c r="A13" s="143" t="s">
        <v>142</v>
      </c>
      <c r="B13" s="97">
        <v>9</v>
      </c>
      <c r="C13" s="144">
        <v>0.63354564755838649</v>
      </c>
      <c r="D13" s="145">
        <f t="shared" si="0"/>
        <v>-9.5447870778267223</v>
      </c>
      <c r="E13" s="97" t="s">
        <v>42</v>
      </c>
      <c r="F13" s="97">
        <f>VLOOKUP(A13,'survey priority'!$A$2:$F$19,6,FALSE)</f>
        <v>4</v>
      </c>
      <c r="H13" s="56">
        <v>7.0393960839820718E-2</v>
      </c>
      <c r="J13" s="41">
        <v>0.6</v>
      </c>
      <c r="K13" s="140"/>
      <c r="L13" s="140"/>
      <c r="M13" s="140">
        <v>1</v>
      </c>
      <c r="O13">
        <v>8.3000000000000007</v>
      </c>
      <c r="P13" t="s">
        <v>152</v>
      </c>
    </row>
    <row r="14" spans="1:16" x14ac:dyDescent="0.25">
      <c r="A14" s="146" t="s">
        <v>135</v>
      </c>
      <c r="B14" s="97">
        <v>2</v>
      </c>
      <c r="C14" s="144">
        <v>0.73375796178343955</v>
      </c>
      <c r="D14" s="145">
        <f t="shared" si="0"/>
        <v>-15.817694369973184</v>
      </c>
      <c r="E14" s="97" t="s">
        <v>42</v>
      </c>
      <c r="F14" s="97">
        <f>VLOOKUP(A14,'survey priority'!$A$2:$F$19,6,FALSE)</f>
        <v>1</v>
      </c>
      <c r="G14" s="136"/>
      <c r="H14" s="56">
        <v>6.522292993630574E-2</v>
      </c>
      <c r="I14" s="79"/>
      <c r="J14" s="41">
        <v>0.75</v>
      </c>
      <c r="K14" s="140">
        <v>1</v>
      </c>
      <c r="L14" s="140"/>
      <c r="M14" s="140"/>
      <c r="O14" s="138">
        <f>SUM(J2:J14)</f>
        <v>8.5500000000000007</v>
      </c>
    </row>
    <row r="15" spans="1:16" x14ac:dyDescent="0.25">
      <c r="A15" s="143" t="s">
        <v>143</v>
      </c>
      <c r="B15" s="97">
        <v>10</v>
      </c>
      <c r="C15" s="144">
        <v>0.63354564755838649</v>
      </c>
      <c r="D15" s="145">
        <f t="shared" si="0"/>
        <v>13.657407407407405</v>
      </c>
      <c r="E15" s="97" t="s">
        <v>42</v>
      </c>
      <c r="F15" s="97">
        <f>VLOOKUP(A15,'survey priority'!$A$2:$F$19,6,FALSE)</f>
        <v>4</v>
      </c>
      <c r="H15" s="56">
        <v>5.2795470629865539E-2</v>
      </c>
      <c r="J15" s="41">
        <v>0.8</v>
      </c>
      <c r="K15" s="140">
        <v>1</v>
      </c>
      <c r="L15" s="140"/>
      <c r="M15" s="140"/>
    </row>
    <row r="16" spans="1:16" x14ac:dyDescent="0.25">
      <c r="A16" s="143" t="s">
        <v>147</v>
      </c>
      <c r="B16" s="97">
        <v>14</v>
      </c>
      <c r="C16" s="144">
        <v>0.45944798301486206</v>
      </c>
      <c r="D16" s="145">
        <f t="shared" si="0"/>
        <v>27.479892761394105</v>
      </c>
      <c r="E16" s="97" t="s">
        <v>44</v>
      </c>
      <c r="F16" s="97">
        <f>VLOOKUP(A16,'survey priority'!$A$2:$F$19,6,FALSE)</f>
        <v>5</v>
      </c>
      <c r="H16" s="56">
        <v>3.8287331917905169E-2</v>
      </c>
      <c r="J16" s="41">
        <v>0.8</v>
      </c>
      <c r="K16" s="140">
        <v>1</v>
      </c>
      <c r="L16" s="140"/>
      <c r="M16" s="140"/>
    </row>
    <row r="17" spans="1:13" x14ac:dyDescent="0.25">
      <c r="A17" s="143" t="s">
        <v>150</v>
      </c>
      <c r="B17" s="97">
        <v>17</v>
      </c>
      <c r="C17" s="144">
        <v>0.28747346072186847</v>
      </c>
      <c r="D17" s="145">
        <f t="shared" si="0"/>
        <v>37.430683918669118</v>
      </c>
      <c r="E17" s="97" t="s">
        <v>40</v>
      </c>
      <c r="F17" s="97">
        <f>VLOOKUP(A17,'survey priority'!$A$2:$F$19,6,FALSE)</f>
        <v>5</v>
      </c>
      <c r="H17" s="56">
        <v>3.1941495635763165E-2</v>
      </c>
      <c r="J17" s="41">
        <v>0.6</v>
      </c>
      <c r="K17" s="140">
        <v>1</v>
      </c>
      <c r="L17" s="140"/>
      <c r="M17" s="140"/>
    </row>
    <row r="18" spans="1:13" x14ac:dyDescent="0.25">
      <c r="A18" s="143" t="s">
        <v>148</v>
      </c>
      <c r="B18" s="97">
        <v>15</v>
      </c>
      <c r="C18" s="144">
        <v>0.3830148619957538</v>
      </c>
      <c r="D18" s="145">
        <f t="shared" si="0"/>
        <v>-33.234859675036908</v>
      </c>
      <c r="E18" s="97" t="s">
        <v>40</v>
      </c>
      <c r="F18" s="97">
        <f>VLOOKUP(A18,'survey priority'!$A$2:$F$19,6,FALSE)</f>
        <v>5</v>
      </c>
      <c r="G18" s="79" t="e">
        <f>_xlfn.PERCENTILE.EXC(C18:C43,0.7)</f>
        <v>#NUM!</v>
      </c>
      <c r="H18" s="56">
        <v>2.5534324133050252E-2</v>
      </c>
      <c r="J18" s="41">
        <v>1</v>
      </c>
      <c r="K18" s="140">
        <v>1</v>
      </c>
      <c r="L18" s="140"/>
      <c r="M18" s="140"/>
    </row>
    <row r="19" spans="1:13" x14ac:dyDescent="0.25">
      <c r="A19" s="143" t="s">
        <v>141</v>
      </c>
      <c r="B19" s="97">
        <v>8</v>
      </c>
      <c r="C19" s="144">
        <v>0.64416135881104042</v>
      </c>
      <c r="D19" s="145" t="s">
        <v>5</v>
      </c>
      <c r="E19" s="97" t="s">
        <v>37</v>
      </c>
      <c r="F19" s="97">
        <f>VLOOKUP(A19,'survey priority'!$A$2:$F$19,6,FALSE)</f>
        <v>4</v>
      </c>
      <c r="G19" s="79" t="s">
        <v>95</v>
      </c>
      <c r="H19" s="56">
        <v>2.1472045293701347E-2</v>
      </c>
      <c r="J19" s="41">
        <v>2</v>
      </c>
      <c r="K19" s="140"/>
      <c r="L19" s="140"/>
      <c r="M19" s="140">
        <v>1</v>
      </c>
    </row>
    <row r="20" spans="1:13" x14ac:dyDescent="0.25">
      <c r="A20" s="131"/>
      <c r="B20" s="97"/>
      <c r="C20" s="145"/>
      <c r="D20" s="145"/>
      <c r="E20" s="97"/>
      <c r="F20" s="97"/>
      <c r="J20" t="s">
        <v>21</v>
      </c>
      <c r="K20" s="142">
        <f>SUM(J4+J8+J10+J14+J15+J16+J2+J3+J7+J11)</f>
        <v>6.25</v>
      </c>
    </row>
    <row r="21" spans="1:13" x14ac:dyDescent="0.25">
      <c r="A21" s="131"/>
      <c r="B21" s="97"/>
      <c r="C21" s="145"/>
      <c r="D21" s="145"/>
      <c r="E21" s="97"/>
      <c r="F21" s="97"/>
    </row>
    <row r="22" spans="1:13" x14ac:dyDescent="0.25">
      <c r="A22" s="131"/>
      <c r="B22" s="97"/>
      <c r="C22" s="145"/>
      <c r="D22" s="145"/>
      <c r="E22" s="97"/>
      <c r="F22" s="97"/>
    </row>
    <row r="23" spans="1:13" x14ac:dyDescent="0.25">
      <c r="A23" s="131"/>
      <c r="B23" s="97"/>
      <c r="C23" s="145"/>
      <c r="D23" s="145"/>
      <c r="E23" s="97"/>
      <c r="F23" s="97"/>
      <c r="G23" s="79"/>
      <c r="H23" s="98"/>
    </row>
    <row r="24" spans="1:13" x14ac:dyDescent="0.25">
      <c r="A24" s="131"/>
      <c r="B24" s="97"/>
      <c r="C24" s="145"/>
      <c r="D24" s="145"/>
      <c r="E24" s="97"/>
      <c r="F24" s="97"/>
    </row>
    <row r="25" spans="1:13" x14ac:dyDescent="0.25">
      <c r="A25" s="131"/>
      <c r="B25" s="97"/>
      <c r="C25" s="145"/>
      <c r="D25" s="145"/>
      <c r="E25" s="97"/>
      <c r="F25" s="97"/>
      <c r="G25" s="79"/>
      <c r="H25" s="98"/>
    </row>
    <row r="26" spans="1:13" x14ac:dyDescent="0.25">
      <c r="A26" s="131"/>
      <c r="B26" s="97"/>
      <c r="C26" s="145"/>
      <c r="D26" s="145"/>
      <c r="E26" s="97"/>
      <c r="F26" s="97"/>
    </row>
    <row r="27" spans="1:13" x14ac:dyDescent="0.25">
      <c r="A27" s="131"/>
      <c r="B27" s="97"/>
      <c r="C27" s="145"/>
      <c r="D27" s="145"/>
      <c r="E27" s="97"/>
      <c r="F27" s="97"/>
    </row>
    <row r="28" spans="1:13" x14ac:dyDescent="0.25">
      <c r="A28" s="148"/>
      <c r="B28" s="148"/>
      <c r="C28" s="149"/>
      <c r="D28" s="149"/>
      <c r="E28" s="148"/>
      <c r="F28" s="148"/>
    </row>
  </sheetData>
  <sortState ref="A2:J19">
    <sortCondition descending="1" ref="H2:H19"/>
  </sortState>
  <pageMargins left="0.7" right="0.7" top="0.75" bottom="0.75" header="0.3" footer="0.3"/>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22"/>
  <sheetViews>
    <sheetView workbookViewId="0">
      <selection activeCell="B25" sqref="B25"/>
    </sheetView>
  </sheetViews>
  <sheetFormatPr defaultColWidth="8.85546875" defaultRowHeight="12.75" x14ac:dyDescent="0.2"/>
  <cols>
    <col min="1" max="1" width="47" style="2" customWidth="1"/>
    <col min="2" max="2" width="17.140625" style="18" customWidth="1"/>
    <col min="3" max="3" width="18.28515625" style="2" customWidth="1"/>
    <col min="4" max="16384" width="8.85546875" style="2"/>
  </cols>
  <sheetData>
    <row r="1" spans="1:3" s="40" customFormat="1" ht="45.6" customHeight="1" x14ac:dyDescent="0.2">
      <c r="A1" s="38" t="s">
        <v>29</v>
      </c>
      <c r="B1" s="39" t="s">
        <v>28</v>
      </c>
      <c r="C1" s="38" t="s">
        <v>36</v>
      </c>
    </row>
    <row r="2" spans="1:3" x14ac:dyDescent="0.2">
      <c r="A2" s="114" t="s">
        <v>134</v>
      </c>
      <c r="B2" s="41">
        <v>1</v>
      </c>
      <c r="C2" s="42">
        <v>3</v>
      </c>
    </row>
    <row r="3" spans="1:3" x14ac:dyDescent="0.2">
      <c r="A3" s="114" t="s">
        <v>135</v>
      </c>
      <c r="B3" s="41">
        <v>0.75</v>
      </c>
      <c r="C3" s="42">
        <v>15</v>
      </c>
    </row>
    <row r="4" spans="1:3" x14ac:dyDescent="0.2">
      <c r="A4" s="118" t="s">
        <v>136</v>
      </c>
      <c r="B4" s="41">
        <v>0.4</v>
      </c>
      <c r="C4" s="42">
        <v>15</v>
      </c>
    </row>
    <row r="5" spans="1:3" ht="15" x14ac:dyDescent="0.25">
      <c r="A5" s="122" t="s">
        <v>137</v>
      </c>
      <c r="B5" s="41">
        <v>0.4</v>
      </c>
      <c r="C5" s="42">
        <v>15</v>
      </c>
    </row>
    <row r="6" spans="1:3" ht="15" x14ac:dyDescent="0.25">
      <c r="A6" s="122" t="s">
        <v>138</v>
      </c>
      <c r="B6" s="41">
        <v>0.1</v>
      </c>
      <c r="C6" s="42">
        <v>15</v>
      </c>
    </row>
    <row r="7" spans="1:3" ht="15" x14ac:dyDescent="0.25">
      <c r="A7" s="123" t="s">
        <v>139</v>
      </c>
      <c r="B7" s="41">
        <v>1</v>
      </c>
      <c r="C7" s="42">
        <v>1</v>
      </c>
    </row>
    <row r="8" spans="1:3" ht="15" x14ac:dyDescent="0.25">
      <c r="A8" s="123" t="s">
        <v>140</v>
      </c>
      <c r="B8" s="41">
        <v>0.2</v>
      </c>
      <c r="C8" s="42">
        <v>15</v>
      </c>
    </row>
    <row r="9" spans="1:3" ht="15" x14ac:dyDescent="0.25">
      <c r="A9" s="123" t="s">
        <v>141</v>
      </c>
      <c r="B9" s="41">
        <v>2</v>
      </c>
      <c r="C9" s="42">
        <v>15</v>
      </c>
    </row>
    <row r="10" spans="1:3" ht="15" x14ac:dyDescent="0.25">
      <c r="A10" s="123" t="s">
        <v>142</v>
      </c>
      <c r="B10" s="41">
        <v>0.6</v>
      </c>
      <c r="C10" s="42">
        <v>15</v>
      </c>
    </row>
    <row r="11" spans="1:3" ht="15" x14ac:dyDescent="0.25">
      <c r="A11" s="123" t="s">
        <v>143</v>
      </c>
      <c r="B11" s="41">
        <v>0.8</v>
      </c>
      <c r="C11" s="42">
        <v>15</v>
      </c>
    </row>
    <row r="12" spans="1:3" ht="15" x14ac:dyDescent="0.25">
      <c r="A12" s="127" t="s">
        <v>144</v>
      </c>
      <c r="B12" s="41">
        <v>0.1</v>
      </c>
      <c r="C12" s="42">
        <v>15</v>
      </c>
    </row>
    <row r="13" spans="1:3" ht="15" x14ac:dyDescent="0.25">
      <c r="A13" s="127" t="s">
        <v>145</v>
      </c>
      <c r="B13" s="41">
        <v>2</v>
      </c>
      <c r="C13" s="42">
        <v>3</v>
      </c>
    </row>
    <row r="14" spans="1:3" ht="15" x14ac:dyDescent="0.25">
      <c r="A14" s="127" t="s">
        <v>146</v>
      </c>
      <c r="B14" s="41">
        <v>0.8</v>
      </c>
      <c r="C14" s="42">
        <v>1</v>
      </c>
    </row>
    <row r="15" spans="1:3" ht="15" x14ac:dyDescent="0.25">
      <c r="A15" s="127" t="s">
        <v>147</v>
      </c>
      <c r="B15" s="41">
        <v>0.8</v>
      </c>
      <c r="C15" s="42">
        <v>15</v>
      </c>
    </row>
    <row r="16" spans="1:3" ht="15" x14ac:dyDescent="0.25">
      <c r="A16" s="127" t="s">
        <v>148</v>
      </c>
      <c r="B16" s="41">
        <v>1</v>
      </c>
      <c r="C16" s="42">
        <v>15</v>
      </c>
    </row>
    <row r="17" spans="1:3" ht="15" x14ac:dyDescent="0.25">
      <c r="A17" s="132" t="s">
        <v>149</v>
      </c>
      <c r="B17" s="41">
        <v>0.6</v>
      </c>
      <c r="C17" s="42">
        <v>2</v>
      </c>
    </row>
    <row r="18" spans="1:3" ht="15" x14ac:dyDescent="0.25">
      <c r="A18" s="132" t="s">
        <v>150</v>
      </c>
      <c r="B18" s="41">
        <v>0.6</v>
      </c>
      <c r="C18" s="42">
        <v>15</v>
      </c>
    </row>
    <row r="19" spans="1:3" ht="15" x14ac:dyDescent="0.25">
      <c r="A19" s="132" t="s">
        <v>151</v>
      </c>
      <c r="B19" s="41">
        <v>0.6</v>
      </c>
      <c r="C19" s="42">
        <v>3</v>
      </c>
    </row>
    <row r="21" spans="1:3" x14ac:dyDescent="0.2">
      <c r="A21" s="84" t="s">
        <v>85</v>
      </c>
    </row>
    <row r="22" spans="1:3" x14ac:dyDescent="0.2">
      <c r="A22" s="85"/>
    </row>
  </sheetData>
  <dataValidations count="1">
    <dataValidation type="whole" allowBlank="1" showInputMessage="1" showErrorMessage="1" sqref="C2:C19">
      <formula1>1</formula1>
      <formula2>15</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57"/>
  <sheetViews>
    <sheetView topLeftCell="E3" zoomScaleNormal="100" workbookViewId="0">
      <selection activeCell="K62" sqref="K62"/>
    </sheetView>
  </sheetViews>
  <sheetFormatPr defaultRowHeight="15" x14ac:dyDescent="0.25"/>
  <cols>
    <col min="1" max="1" width="13.42578125" style="44" customWidth="1"/>
    <col min="2" max="2" width="21.5703125" style="43" customWidth="1"/>
    <col min="3" max="4" width="9.7109375" style="43" customWidth="1"/>
    <col min="5" max="5" width="9.7109375" style="44" customWidth="1"/>
    <col min="6" max="6" width="9.7109375" style="47" customWidth="1"/>
    <col min="7" max="7" width="9.140625" style="20" customWidth="1"/>
    <col min="8" max="8" width="10.5703125" style="20" customWidth="1"/>
    <col min="9" max="16" width="9.140625" style="20" customWidth="1"/>
  </cols>
  <sheetData>
    <row r="1" spans="1:18" x14ac:dyDescent="0.25">
      <c r="A1" s="53"/>
      <c r="B1" s="54"/>
      <c r="C1" s="54"/>
      <c r="D1" s="54"/>
      <c r="E1" s="55"/>
      <c r="F1" s="56"/>
      <c r="G1" s="48"/>
      <c r="H1" s="48"/>
      <c r="I1" s="48"/>
      <c r="J1" s="48"/>
      <c r="K1" s="48"/>
      <c r="L1" s="48"/>
      <c r="M1" s="48"/>
      <c r="N1" s="48"/>
      <c r="O1" s="48"/>
      <c r="P1" s="48"/>
    </row>
    <row r="2" spans="1:18" x14ac:dyDescent="0.25">
      <c r="A2" s="55"/>
      <c r="B2" s="54" t="s">
        <v>5</v>
      </c>
      <c r="C2" s="54" t="s">
        <v>5</v>
      </c>
      <c r="D2" s="54"/>
      <c r="E2" s="55"/>
      <c r="F2" s="56"/>
      <c r="G2" s="48"/>
      <c r="H2" s="48"/>
      <c r="I2" s="48"/>
      <c r="J2" s="48"/>
      <c r="K2" s="48"/>
      <c r="L2" s="48"/>
      <c r="M2" s="48"/>
      <c r="N2" s="48"/>
      <c r="O2" s="48"/>
      <c r="P2" s="48"/>
    </row>
    <row r="3" spans="1:18" s="45" customFormat="1" ht="105.75" thickBot="1" x14ac:dyDescent="0.3">
      <c r="A3" s="57" t="s">
        <v>56</v>
      </c>
      <c r="B3" s="57" t="s">
        <v>0</v>
      </c>
      <c r="C3" s="57" t="s">
        <v>1</v>
      </c>
      <c r="D3" s="57" t="s">
        <v>55</v>
      </c>
      <c r="E3" s="57" t="s">
        <v>49</v>
      </c>
      <c r="F3" s="58" t="s">
        <v>50</v>
      </c>
      <c r="G3" s="82" t="s">
        <v>158</v>
      </c>
      <c r="H3" s="82" t="s">
        <v>159</v>
      </c>
      <c r="I3" s="82" t="s">
        <v>160</v>
      </c>
      <c r="J3" s="83" t="s">
        <v>161</v>
      </c>
      <c r="K3" s="83" t="s">
        <v>162</v>
      </c>
      <c r="L3" s="83" t="s">
        <v>163</v>
      </c>
      <c r="M3" s="83" t="s">
        <v>164</v>
      </c>
      <c r="N3" s="83" t="s">
        <v>165</v>
      </c>
      <c r="O3" s="83" t="s">
        <v>166</v>
      </c>
      <c r="P3" s="46" t="s">
        <v>167</v>
      </c>
      <c r="Q3" s="46" t="s">
        <v>168</v>
      </c>
      <c r="R3" s="83" t="s">
        <v>169</v>
      </c>
    </row>
    <row r="4" spans="1:18" x14ac:dyDescent="0.25">
      <c r="A4" s="55">
        <v>1</v>
      </c>
      <c r="B4" s="54" t="str">
        <f>'survey priority'!A2</f>
        <v>Stream Cond</v>
      </c>
      <c r="C4" s="54">
        <f>'survey priority'!C2</f>
        <v>0.74182590233545653</v>
      </c>
      <c r="D4" s="54">
        <f>VLOOKUP(B4,'Survey Time'!$A$2:$C$19,2,FALSE)</f>
        <v>1</v>
      </c>
      <c r="E4" s="55">
        <f>VLOOKUP(B4,'Survey Time'!$A$2:$C$19,3,FALSE)</f>
        <v>3</v>
      </c>
      <c r="F4" s="56">
        <f>C4/(D4*E4)</f>
        <v>0.2472753007784855</v>
      </c>
      <c r="G4" s="48">
        <v>1</v>
      </c>
      <c r="H4" s="48">
        <v>1</v>
      </c>
      <c r="I4" s="48">
        <v>1</v>
      </c>
      <c r="J4" s="48">
        <v>1</v>
      </c>
      <c r="K4" s="48">
        <v>0</v>
      </c>
      <c r="L4" s="48">
        <v>1</v>
      </c>
      <c r="M4" s="48">
        <v>1</v>
      </c>
      <c r="N4" s="48">
        <v>1</v>
      </c>
      <c r="O4" s="48">
        <v>1</v>
      </c>
      <c r="P4" s="48">
        <v>1</v>
      </c>
      <c r="Q4" s="48">
        <v>0</v>
      </c>
      <c r="R4" s="48">
        <v>0</v>
      </c>
    </row>
    <row r="5" spans="1:18" x14ac:dyDescent="0.25">
      <c r="A5" s="55">
        <v>2</v>
      </c>
      <c r="B5" s="54" t="str">
        <f>'survey priority'!A3</f>
        <v>Restor Fish</v>
      </c>
      <c r="C5" s="54">
        <f>'survey priority'!C3</f>
        <v>0.73375796178343955</v>
      </c>
      <c r="D5" s="54">
        <f>VLOOKUP(B5,'Survey Time'!$A$2:$C$19,2,FALSE)</f>
        <v>0.75</v>
      </c>
      <c r="E5" s="55">
        <f>VLOOKUP(B5,'Survey Time'!$A$2:$C$19,3,FALSE)</f>
        <v>15</v>
      </c>
      <c r="F5" s="56">
        <f t="shared" ref="F5:F21" si="0">C5/(D5*E5)</f>
        <v>6.522292993630574E-2</v>
      </c>
      <c r="G5" s="48">
        <v>1</v>
      </c>
      <c r="H5" s="48">
        <v>1</v>
      </c>
      <c r="I5" s="48">
        <v>0</v>
      </c>
      <c r="J5" s="48">
        <v>1</v>
      </c>
      <c r="K5" s="48">
        <v>0</v>
      </c>
      <c r="L5" s="48">
        <v>1</v>
      </c>
      <c r="M5" s="48">
        <v>1</v>
      </c>
      <c r="N5" s="48">
        <v>1</v>
      </c>
      <c r="O5" s="48">
        <v>1</v>
      </c>
      <c r="P5" s="48">
        <v>1</v>
      </c>
      <c r="Q5" s="48">
        <v>1</v>
      </c>
      <c r="R5" s="48">
        <v>1</v>
      </c>
    </row>
    <row r="6" spans="1:18" x14ac:dyDescent="0.25">
      <c r="A6" s="55">
        <v>3</v>
      </c>
      <c r="B6" s="54" t="str">
        <f>'survey priority'!A4</f>
        <v>Fish Index</v>
      </c>
      <c r="C6" s="54">
        <f>'survey priority'!C4</f>
        <v>0.6976645435244162</v>
      </c>
      <c r="D6" s="54">
        <f>VLOOKUP(B6,'Survey Time'!$A$2:$C$19,2,FALSE)</f>
        <v>0.4</v>
      </c>
      <c r="E6" s="55">
        <f>VLOOKUP(B6,'Survey Time'!$A$2:$C$19,3,FALSE)</f>
        <v>15</v>
      </c>
      <c r="F6" s="56">
        <f t="shared" si="0"/>
        <v>0.11627742392073603</v>
      </c>
      <c r="G6" s="48">
        <v>1</v>
      </c>
      <c r="H6" s="48">
        <v>1</v>
      </c>
      <c r="I6" s="48">
        <v>1</v>
      </c>
      <c r="J6" s="48">
        <v>1</v>
      </c>
      <c r="K6" s="48">
        <v>0</v>
      </c>
      <c r="L6" s="48">
        <v>1</v>
      </c>
      <c r="M6" s="48">
        <v>1</v>
      </c>
      <c r="N6" s="48">
        <v>1</v>
      </c>
      <c r="O6" s="48">
        <v>1</v>
      </c>
      <c r="P6" s="48">
        <v>1</v>
      </c>
      <c r="Q6" s="48">
        <v>1</v>
      </c>
      <c r="R6" s="48">
        <v>1</v>
      </c>
    </row>
    <row r="7" spans="1:18" x14ac:dyDescent="0.25">
      <c r="A7" s="55">
        <v>4</v>
      </c>
      <c r="B7" s="54" t="str">
        <f>'survey priority'!A5</f>
        <v>Fish Comp</v>
      </c>
      <c r="C7" s="54">
        <f>'survey priority'!C5</f>
        <v>0.69341825902335463</v>
      </c>
      <c r="D7" s="54">
        <f>VLOOKUP(B7,'Survey Time'!$A$2:$C$19,2,FALSE)</f>
        <v>0.4</v>
      </c>
      <c r="E7" s="55">
        <f>VLOOKUP(B7,'Survey Time'!$A$2:$C$19,3,FALSE)</f>
        <v>15</v>
      </c>
      <c r="F7" s="56">
        <f t="shared" si="0"/>
        <v>0.11556970983722577</v>
      </c>
      <c r="G7" s="48">
        <v>1</v>
      </c>
      <c r="H7" s="48">
        <v>1</v>
      </c>
      <c r="I7" s="48">
        <v>0</v>
      </c>
      <c r="J7" s="48">
        <v>1</v>
      </c>
      <c r="K7" s="48">
        <v>0</v>
      </c>
      <c r="L7" s="48">
        <v>1</v>
      </c>
      <c r="M7" s="48">
        <v>1</v>
      </c>
      <c r="N7" s="48">
        <v>1</v>
      </c>
      <c r="O7" s="48">
        <v>1</v>
      </c>
      <c r="P7" s="48">
        <v>1</v>
      </c>
      <c r="Q7" s="48">
        <v>1</v>
      </c>
      <c r="R7" s="48">
        <v>1</v>
      </c>
    </row>
    <row r="8" spans="1:18" x14ac:dyDescent="0.25">
      <c r="A8" s="55">
        <v>5</v>
      </c>
      <c r="B8" s="54" t="str">
        <f>'survey priority'!A6</f>
        <v>Stream gage</v>
      </c>
      <c r="C8" s="54">
        <f>'survey priority'!C6</f>
        <v>0.67388535031847141</v>
      </c>
      <c r="D8" s="54">
        <f>VLOOKUP(B8,'Survey Time'!$A$2:$C$19,2,FALSE)</f>
        <v>0.1</v>
      </c>
      <c r="E8" s="55">
        <f>VLOOKUP(B8,'Survey Time'!$A$2:$C$19,3,FALSE)</f>
        <v>15</v>
      </c>
      <c r="F8" s="56">
        <f t="shared" si="0"/>
        <v>0.44925690021231429</v>
      </c>
      <c r="G8" s="48">
        <v>1</v>
      </c>
      <c r="H8" s="48">
        <v>1</v>
      </c>
      <c r="I8" s="48">
        <v>1</v>
      </c>
      <c r="J8" s="48">
        <v>1</v>
      </c>
      <c r="K8" s="48">
        <v>1</v>
      </c>
      <c r="L8" s="48">
        <v>1</v>
      </c>
      <c r="M8" s="48">
        <v>1</v>
      </c>
      <c r="N8" s="48">
        <v>1</v>
      </c>
      <c r="O8" s="48">
        <v>1</v>
      </c>
      <c r="P8" s="48">
        <v>1</v>
      </c>
      <c r="Q8" s="48">
        <v>1</v>
      </c>
      <c r="R8" s="48">
        <v>1</v>
      </c>
    </row>
    <row r="9" spans="1:18" x14ac:dyDescent="0.25">
      <c r="A9" s="55">
        <v>6</v>
      </c>
      <c r="B9" s="54" t="str">
        <f>'survey priority'!A7</f>
        <v>Culverts</v>
      </c>
      <c r="C9" s="54">
        <f>'survey priority'!C7</f>
        <v>0.67176220806794062</v>
      </c>
      <c r="D9" s="54">
        <f>VLOOKUP(B9,'Survey Time'!$A$2:$C$19,2,FALSE)</f>
        <v>1</v>
      </c>
      <c r="E9" s="55">
        <f>VLOOKUP(B9,'Survey Time'!$A$2:$C$19,3,FALSE)</f>
        <v>1</v>
      </c>
      <c r="F9" s="56">
        <f t="shared" si="0"/>
        <v>0.67176220806794062</v>
      </c>
      <c r="G9" s="48">
        <v>1</v>
      </c>
      <c r="H9" s="48">
        <v>1</v>
      </c>
      <c r="I9" s="48">
        <v>1</v>
      </c>
      <c r="J9" s="48">
        <v>1</v>
      </c>
      <c r="K9" s="48">
        <v>1</v>
      </c>
      <c r="L9" s="48">
        <v>1</v>
      </c>
      <c r="M9" s="48">
        <v>1</v>
      </c>
      <c r="N9" s="48">
        <v>1</v>
      </c>
      <c r="O9" s="48">
        <v>1</v>
      </c>
      <c r="P9" s="48">
        <v>1</v>
      </c>
      <c r="Q9" s="48">
        <v>1</v>
      </c>
      <c r="R9" s="48">
        <v>0</v>
      </c>
    </row>
    <row r="10" spans="1:18" x14ac:dyDescent="0.25">
      <c r="A10" s="55">
        <v>7</v>
      </c>
      <c r="B10" s="54" t="str">
        <f>'survey priority'!A8</f>
        <v>PIT</v>
      </c>
      <c r="C10" s="54">
        <f>'survey priority'!C8</f>
        <v>0.65944798301486207</v>
      </c>
      <c r="D10" s="54">
        <f>VLOOKUP(B10,'Survey Time'!$A$2:$C$19,2,FALSE)</f>
        <v>0.2</v>
      </c>
      <c r="E10" s="55">
        <f>VLOOKUP(B10,'Survey Time'!$A$2:$C$19,3,FALSE)</f>
        <v>15</v>
      </c>
      <c r="F10" s="56">
        <f t="shared" si="0"/>
        <v>0.21981599433828736</v>
      </c>
      <c r="G10" s="48">
        <v>1</v>
      </c>
      <c r="H10" s="48">
        <v>1</v>
      </c>
      <c r="I10" s="48">
        <v>1</v>
      </c>
      <c r="J10" s="48">
        <v>1</v>
      </c>
      <c r="K10" s="48">
        <v>1</v>
      </c>
      <c r="L10" s="48">
        <v>1</v>
      </c>
      <c r="M10" s="48">
        <v>1</v>
      </c>
      <c r="N10" s="48">
        <v>1</v>
      </c>
      <c r="O10" s="48">
        <v>1</v>
      </c>
      <c r="P10" s="48">
        <v>1</v>
      </c>
      <c r="Q10" s="48">
        <v>1</v>
      </c>
      <c r="R10" s="48">
        <v>1</v>
      </c>
    </row>
    <row r="11" spans="1:18" x14ac:dyDescent="0.25">
      <c r="A11" s="55">
        <v>8</v>
      </c>
      <c r="B11" s="54" t="str">
        <f>'survey priority'!A9</f>
        <v>Invasive</v>
      </c>
      <c r="C11" s="54">
        <f>'survey priority'!C9</f>
        <v>0.64416135881104042</v>
      </c>
      <c r="D11" s="54">
        <f>VLOOKUP(B11,'Survey Time'!$A$2:$C$19,2,FALSE)</f>
        <v>2</v>
      </c>
      <c r="E11" s="55">
        <f>VLOOKUP(B11,'Survey Time'!$A$2:$C$19,3,FALSE)</f>
        <v>15</v>
      </c>
      <c r="F11" s="56">
        <f t="shared" si="0"/>
        <v>2.1472045293701347E-2</v>
      </c>
      <c r="G11" s="48">
        <v>1</v>
      </c>
      <c r="H11" s="48">
        <v>0</v>
      </c>
      <c r="I11" s="48">
        <v>0</v>
      </c>
      <c r="J11" s="48">
        <v>1</v>
      </c>
      <c r="K11" s="48">
        <v>1</v>
      </c>
      <c r="L11" s="48">
        <v>0</v>
      </c>
      <c r="M11" s="48">
        <v>0</v>
      </c>
      <c r="N11" s="48">
        <v>0</v>
      </c>
      <c r="O11" s="48">
        <v>0</v>
      </c>
      <c r="P11" s="48">
        <v>0</v>
      </c>
      <c r="Q11" s="48">
        <v>0</v>
      </c>
      <c r="R11" s="48">
        <v>0</v>
      </c>
    </row>
    <row r="12" spans="1:18" x14ac:dyDescent="0.25">
      <c r="A12" s="55">
        <v>9</v>
      </c>
      <c r="B12" s="54" t="str">
        <f>'survey priority'!A10</f>
        <v>IWMM</v>
      </c>
      <c r="C12" s="54">
        <f>'survey priority'!C10</f>
        <v>0.63354564755838649</v>
      </c>
      <c r="D12" s="54">
        <f>VLOOKUP(B12,'Survey Time'!$A$2:$C$19,2,FALSE)</f>
        <v>0.6</v>
      </c>
      <c r="E12" s="55">
        <f>VLOOKUP(B12,'Survey Time'!$A$2:$C$19,3,FALSE)</f>
        <v>15</v>
      </c>
      <c r="F12" s="56">
        <f t="shared" si="0"/>
        <v>7.0393960839820718E-2</v>
      </c>
      <c r="G12" s="48">
        <v>1</v>
      </c>
      <c r="H12" s="48">
        <v>1</v>
      </c>
      <c r="I12" s="48">
        <v>0</v>
      </c>
      <c r="J12" s="48">
        <v>1</v>
      </c>
      <c r="K12" s="48">
        <v>0</v>
      </c>
      <c r="L12" s="48">
        <v>1</v>
      </c>
      <c r="M12" s="48">
        <v>1</v>
      </c>
      <c r="N12" s="48">
        <v>1</v>
      </c>
      <c r="O12" s="48">
        <v>1</v>
      </c>
      <c r="P12" s="48">
        <v>1</v>
      </c>
      <c r="Q12" s="48">
        <v>1</v>
      </c>
      <c r="R12" s="48">
        <v>1</v>
      </c>
    </row>
    <row r="13" spans="1:18" x14ac:dyDescent="0.25">
      <c r="A13" s="55">
        <v>10</v>
      </c>
      <c r="B13" s="54" t="str">
        <f>'survey priority'!A11</f>
        <v>Stream Habit</v>
      </c>
      <c r="C13" s="54">
        <f>'survey priority'!C11</f>
        <v>0.63354564755838649</v>
      </c>
      <c r="D13" s="54">
        <f>VLOOKUP(B13,'Survey Time'!$A$2:$C$19,2,FALSE)</f>
        <v>0.8</v>
      </c>
      <c r="E13" s="55">
        <f>VLOOKUP(B13,'Survey Time'!$A$2:$C$19,3,FALSE)</f>
        <v>15</v>
      </c>
      <c r="F13" s="56">
        <f t="shared" si="0"/>
        <v>5.2795470629865539E-2</v>
      </c>
      <c r="G13" s="48">
        <v>1</v>
      </c>
      <c r="H13" s="48">
        <v>1</v>
      </c>
      <c r="I13" s="48">
        <v>0</v>
      </c>
      <c r="J13" s="48">
        <v>1</v>
      </c>
      <c r="K13" s="48">
        <v>0</v>
      </c>
      <c r="L13" s="48">
        <v>0</v>
      </c>
      <c r="M13" s="48">
        <v>1</v>
      </c>
      <c r="N13" s="48">
        <v>1</v>
      </c>
      <c r="O13" s="48">
        <v>1</v>
      </c>
      <c r="P13" s="48">
        <v>1</v>
      </c>
      <c r="Q13" s="48">
        <v>1</v>
      </c>
      <c r="R13" s="48">
        <v>1</v>
      </c>
    </row>
    <row r="14" spans="1:18" x14ac:dyDescent="0.25">
      <c r="A14" s="55">
        <v>11</v>
      </c>
      <c r="B14" s="54" t="str">
        <f>'survey priority'!A12</f>
        <v>Bat</v>
      </c>
      <c r="C14" s="54">
        <f>'survey priority'!C12</f>
        <v>0.58598726114649691</v>
      </c>
      <c r="D14" s="54">
        <f>VLOOKUP(B14,'Survey Time'!$A$2:$C$19,2,FALSE)</f>
        <v>0.1</v>
      </c>
      <c r="E14" s="55">
        <f>VLOOKUP(B14,'Survey Time'!$A$2:$C$19,3,FALSE)</f>
        <v>15</v>
      </c>
      <c r="F14" s="56">
        <f t="shared" si="0"/>
        <v>0.39065817409766462</v>
      </c>
      <c r="G14" s="48">
        <v>1</v>
      </c>
      <c r="H14" s="48">
        <v>1</v>
      </c>
      <c r="I14" s="48">
        <v>1</v>
      </c>
      <c r="J14" s="48">
        <v>1</v>
      </c>
      <c r="K14" s="48">
        <v>1</v>
      </c>
      <c r="L14" s="48">
        <v>1</v>
      </c>
      <c r="M14" s="48">
        <v>1</v>
      </c>
      <c r="N14" s="48">
        <v>1</v>
      </c>
      <c r="O14" s="48">
        <v>1</v>
      </c>
      <c r="P14" s="48">
        <v>1</v>
      </c>
      <c r="Q14" s="48">
        <v>1</v>
      </c>
      <c r="R14" s="48">
        <v>0</v>
      </c>
    </row>
    <row r="15" spans="1:18" ht="15.75" customHeight="1" x14ac:dyDescent="0.25">
      <c r="A15" s="55">
        <v>12</v>
      </c>
      <c r="B15" s="54" t="str">
        <f>'survey priority'!A13</f>
        <v>Stream Topo</v>
      </c>
      <c r="C15" s="54">
        <f>'survey priority'!C13</f>
        <v>0.57834394904458608</v>
      </c>
      <c r="D15" s="54">
        <f>VLOOKUP(B15,'Survey Time'!$A$2:$C$19,2,FALSE)</f>
        <v>2</v>
      </c>
      <c r="E15" s="55">
        <f>VLOOKUP(B15,'Survey Time'!$A$2:$C$19,3,FALSE)</f>
        <v>3</v>
      </c>
      <c r="F15" s="56">
        <f t="shared" si="0"/>
        <v>9.6390658174097685E-2</v>
      </c>
      <c r="G15" s="48">
        <v>0</v>
      </c>
      <c r="H15" s="48">
        <v>0</v>
      </c>
      <c r="I15" s="48">
        <v>0</v>
      </c>
      <c r="J15" s="48">
        <v>1</v>
      </c>
      <c r="K15" s="48">
        <v>1</v>
      </c>
      <c r="L15" s="48">
        <v>0</v>
      </c>
      <c r="M15" s="48">
        <v>0</v>
      </c>
      <c r="N15" s="48">
        <v>0</v>
      </c>
      <c r="O15" s="48">
        <v>0</v>
      </c>
      <c r="P15" s="48">
        <v>0</v>
      </c>
      <c r="Q15" s="48">
        <v>0</v>
      </c>
      <c r="R15" s="48">
        <v>0</v>
      </c>
    </row>
    <row r="16" spans="1:18" x14ac:dyDescent="0.25">
      <c r="A16" s="55">
        <v>13</v>
      </c>
      <c r="B16" s="54" t="str">
        <f>'survey priority'!A14</f>
        <v>Map Lowland</v>
      </c>
      <c r="C16" s="54">
        <f>'survey priority'!C14</f>
        <v>0.56687898089171984</v>
      </c>
      <c r="D16" s="54">
        <f>VLOOKUP(B16,'Survey Time'!$A$2:$C$19,2,FALSE)</f>
        <v>0.8</v>
      </c>
      <c r="E16" s="55">
        <f>VLOOKUP(B16,'Survey Time'!$A$2:$C$19,3,FALSE)</f>
        <v>1</v>
      </c>
      <c r="F16" s="56">
        <f t="shared" si="0"/>
        <v>0.7085987261146498</v>
      </c>
      <c r="G16" s="48">
        <v>1</v>
      </c>
      <c r="H16" s="48">
        <v>1</v>
      </c>
      <c r="I16" s="48">
        <v>1</v>
      </c>
      <c r="J16" s="48">
        <v>1</v>
      </c>
      <c r="K16" s="48">
        <v>1</v>
      </c>
      <c r="L16" s="48">
        <v>1</v>
      </c>
      <c r="M16" s="48">
        <v>1</v>
      </c>
      <c r="N16" s="48">
        <v>1</v>
      </c>
      <c r="O16" s="48">
        <v>1</v>
      </c>
      <c r="P16" s="48">
        <v>1</v>
      </c>
      <c r="Q16" s="48">
        <v>1</v>
      </c>
      <c r="R16" s="48">
        <v>0</v>
      </c>
    </row>
    <row r="17" spans="1:18" x14ac:dyDescent="0.25">
      <c r="A17" s="55">
        <v>14</v>
      </c>
      <c r="B17" s="54" t="str">
        <f>'survey priority'!A15</f>
        <v>Macroinvert</v>
      </c>
      <c r="C17" s="54">
        <f>'survey priority'!C15</f>
        <v>0.45944798301486206</v>
      </c>
      <c r="D17" s="54">
        <f>VLOOKUP(B17,'Survey Time'!$A$2:$C$19,2,FALSE)</f>
        <v>0.8</v>
      </c>
      <c r="E17" s="55">
        <f>VLOOKUP(B17,'Survey Time'!$A$2:$C$19,3,FALSE)</f>
        <v>15</v>
      </c>
      <c r="F17" s="56">
        <f t="shared" si="0"/>
        <v>3.8287331917905169E-2</v>
      </c>
      <c r="G17" s="48">
        <v>0</v>
      </c>
      <c r="H17" s="48">
        <v>1</v>
      </c>
      <c r="I17" s="48">
        <v>0</v>
      </c>
      <c r="J17" s="48">
        <v>1</v>
      </c>
      <c r="K17" s="48">
        <v>0</v>
      </c>
      <c r="L17" s="48">
        <v>0</v>
      </c>
      <c r="M17" s="48">
        <v>0</v>
      </c>
      <c r="N17" s="48">
        <v>0</v>
      </c>
      <c r="O17" s="48">
        <v>0</v>
      </c>
      <c r="P17" s="48">
        <v>1</v>
      </c>
      <c r="Q17" s="48">
        <v>1</v>
      </c>
      <c r="R17" s="48">
        <v>1</v>
      </c>
    </row>
    <row r="18" spans="1:18" x14ac:dyDescent="0.25">
      <c r="A18" s="55">
        <v>15</v>
      </c>
      <c r="B18" s="54" t="str">
        <f>'survey priority'!A16</f>
        <v>Point Count</v>
      </c>
      <c r="C18" s="54">
        <f>'survey priority'!C16</f>
        <v>0.3830148619957538</v>
      </c>
      <c r="D18" s="54">
        <f>VLOOKUP(B18,'Survey Time'!$A$2:$C$19,2,FALSE)</f>
        <v>1</v>
      </c>
      <c r="E18" s="55">
        <f>VLOOKUP(B18,'Survey Time'!$A$2:$C$19,3,FALSE)</f>
        <v>15</v>
      </c>
      <c r="F18" s="56">
        <f t="shared" si="0"/>
        <v>2.5534324133050252E-2</v>
      </c>
      <c r="G18" s="48">
        <v>0</v>
      </c>
      <c r="H18" s="48">
        <v>0</v>
      </c>
      <c r="I18" s="48">
        <v>0</v>
      </c>
      <c r="J18" s="48">
        <v>1</v>
      </c>
      <c r="K18" s="48">
        <v>1</v>
      </c>
      <c r="L18" s="48">
        <v>1</v>
      </c>
      <c r="M18" s="48">
        <v>1</v>
      </c>
      <c r="N18" s="48">
        <v>0</v>
      </c>
      <c r="O18" s="48">
        <v>1</v>
      </c>
      <c r="P18" s="48">
        <v>0</v>
      </c>
      <c r="Q18" s="48">
        <v>1</v>
      </c>
      <c r="R18" s="48">
        <v>1</v>
      </c>
    </row>
    <row r="19" spans="1:18" ht="15" customHeight="1" x14ac:dyDescent="0.25">
      <c r="A19" s="55">
        <v>16</v>
      </c>
      <c r="B19" s="54" t="str">
        <f>'survey priority'!A17</f>
        <v>Turtle</v>
      </c>
      <c r="C19" s="54">
        <f>'survey priority'!C17</f>
        <v>0.3320594479830149</v>
      </c>
      <c r="D19" s="54">
        <f>VLOOKUP(B19,'Survey Time'!$A$2:$C$19,2,FALSE)</f>
        <v>0.6</v>
      </c>
      <c r="E19" s="55">
        <f>VLOOKUP(B19,'Survey Time'!$A$2:$C$19,3,FALSE)</f>
        <v>2</v>
      </c>
      <c r="F19" s="56">
        <f t="shared" si="0"/>
        <v>0.27671620665251245</v>
      </c>
      <c r="G19" s="48">
        <v>0</v>
      </c>
      <c r="H19" s="48">
        <v>1</v>
      </c>
      <c r="I19" s="48">
        <v>1</v>
      </c>
      <c r="J19" s="48">
        <v>1</v>
      </c>
      <c r="K19" s="48">
        <v>1</v>
      </c>
      <c r="L19" s="48">
        <v>1</v>
      </c>
      <c r="M19" s="48">
        <v>1</v>
      </c>
      <c r="N19" s="48">
        <v>1</v>
      </c>
      <c r="O19" s="48">
        <v>1</v>
      </c>
      <c r="P19" s="48">
        <v>1</v>
      </c>
      <c r="Q19" s="48">
        <v>1</v>
      </c>
      <c r="R19" s="48">
        <v>0</v>
      </c>
    </row>
    <row r="20" spans="1:18" x14ac:dyDescent="0.25">
      <c r="A20" s="55">
        <v>17</v>
      </c>
      <c r="B20" s="54" t="str">
        <f>'survey priority'!A18</f>
        <v>Photo Stream</v>
      </c>
      <c r="C20" s="54">
        <f>'survey priority'!C18</f>
        <v>0.28747346072186847</v>
      </c>
      <c r="D20" s="54">
        <f>VLOOKUP(B20,'Survey Time'!$A$2:$C$19,2,FALSE)</f>
        <v>0.6</v>
      </c>
      <c r="E20" s="55">
        <f>VLOOKUP(B20,'Survey Time'!$A$2:$C$19,3,FALSE)</f>
        <v>15</v>
      </c>
      <c r="F20" s="56">
        <f t="shared" si="0"/>
        <v>3.1941495635763165E-2</v>
      </c>
      <c r="G20" s="48">
        <v>0</v>
      </c>
      <c r="H20" s="48">
        <v>0</v>
      </c>
      <c r="I20" s="48">
        <v>0</v>
      </c>
      <c r="J20" s="48">
        <v>1</v>
      </c>
      <c r="K20" s="48">
        <v>1</v>
      </c>
      <c r="L20" s="48">
        <v>1</v>
      </c>
      <c r="M20" s="48">
        <v>0</v>
      </c>
      <c r="N20" s="48">
        <v>1</v>
      </c>
      <c r="O20" s="48">
        <v>0</v>
      </c>
      <c r="P20" s="48">
        <v>0</v>
      </c>
      <c r="Q20" s="48">
        <v>1</v>
      </c>
      <c r="R20" s="48">
        <v>1</v>
      </c>
    </row>
    <row r="21" spans="1:18" ht="13.9" customHeight="1" thickBot="1" x14ac:dyDescent="0.3">
      <c r="A21" s="55">
        <v>18</v>
      </c>
      <c r="B21" s="54" t="str">
        <f>'survey priority'!A19</f>
        <v>Blduck Nest</v>
      </c>
      <c r="C21" s="54">
        <f>'survey priority'!C19</f>
        <v>0.21231422505307856</v>
      </c>
      <c r="D21" s="54">
        <f>VLOOKUP(B21,'Survey Time'!$A$2:$C$19,2,FALSE)</f>
        <v>0.6</v>
      </c>
      <c r="E21" s="55">
        <f>VLOOKUP(B21,'Survey Time'!$A$2:$C$19,3,FALSE)</f>
        <v>3</v>
      </c>
      <c r="F21" s="56">
        <f t="shared" si="0"/>
        <v>0.11795234725171033</v>
      </c>
      <c r="G21" s="48">
        <v>0</v>
      </c>
      <c r="H21" s="48">
        <v>1</v>
      </c>
      <c r="I21" s="48">
        <v>0</v>
      </c>
      <c r="J21" s="48">
        <v>1</v>
      </c>
      <c r="K21" s="48">
        <v>0</v>
      </c>
      <c r="L21" s="48">
        <v>1</v>
      </c>
      <c r="M21" s="48">
        <v>1</v>
      </c>
      <c r="N21" s="48">
        <v>1</v>
      </c>
      <c r="O21" s="48">
        <v>1</v>
      </c>
      <c r="P21" s="48">
        <v>1</v>
      </c>
      <c r="Q21" s="48">
        <v>0</v>
      </c>
      <c r="R21" s="48">
        <v>0</v>
      </c>
    </row>
    <row r="22" spans="1:18" ht="15.75" hidden="1" thickBot="1" x14ac:dyDescent="0.3">
      <c r="A22" s="55">
        <v>27</v>
      </c>
      <c r="B22" s="54">
        <f>'survey priority'!A28</f>
        <v>0</v>
      </c>
      <c r="C22" s="54">
        <f>'survey priority'!C28</f>
        <v>0</v>
      </c>
      <c r="D22" s="54"/>
      <c r="E22" s="55"/>
      <c r="F22" s="56"/>
      <c r="G22" s="48">
        <v>0</v>
      </c>
      <c r="H22" s="48">
        <v>0</v>
      </c>
      <c r="I22" s="48">
        <v>0</v>
      </c>
      <c r="J22" s="48">
        <v>0</v>
      </c>
      <c r="K22" s="48">
        <v>0</v>
      </c>
      <c r="L22" s="48">
        <v>0</v>
      </c>
      <c r="M22" s="48">
        <v>0</v>
      </c>
      <c r="N22" s="48">
        <v>0</v>
      </c>
      <c r="O22" s="48">
        <v>0</v>
      </c>
      <c r="P22" s="48"/>
      <c r="Q22">
        <v>0</v>
      </c>
    </row>
    <row r="23" spans="1:18" ht="15.75" hidden="1" thickBot="1" x14ac:dyDescent="0.3">
      <c r="A23" s="55">
        <v>28</v>
      </c>
      <c r="B23" s="54">
        <f>'survey priority'!A29</f>
        <v>0</v>
      </c>
      <c r="C23" s="54">
        <f>'survey priority'!C29</f>
        <v>0</v>
      </c>
      <c r="D23" s="54"/>
      <c r="E23" s="55"/>
      <c r="F23" s="56"/>
      <c r="G23" s="48">
        <v>0</v>
      </c>
      <c r="H23" s="48">
        <v>0</v>
      </c>
      <c r="I23" s="48">
        <v>0</v>
      </c>
      <c r="J23" s="48">
        <v>0</v>
      </c>
      <c r="K23" s="48">
        <v>0</v>
      </c>
      <c r="L23" s="48">
        <v>0</v>
      </c>
      <c r="M23" s="48">
        <v>0</v>
      </c>
      <c r="N23" s="48">
        <v>0</v>
      </c>
      <c r="O23" s="48">
        <v>0</v>
      </c>
      <c r="P23" s="48"/>
      <c r="Q23">
        <v>0</v>
      </c>
    </row>
    <row r="24" spans="1:18" ht="15.75" hidden="1" thickBot="1" x14ac:dyDescent="0.3">
      <c r="A24" s="55">
        <v>29</v>
      </c>
      <c r="B24" s="54">
        <f>'survey priority'!A30</f>
        <v>0</v>
      </c>
      <c r="C24" s="54">
        <f>'survey priority'!C30</f>
        <v>0</v>
      </c>
      <c r="D24" s="54"/>
      <c r="E24" s="55"/>
      <c r="F24" s="56"/>
      <c r="G24" s="48">
        <v>0</v>
      </c>
      <c r="H24" s="48">
        <v>0</v>
      </c>
      <c r="I24" s="48">
        <v>0</v>
      </c>
      <c r="J24" s="48">
        <v>0</v>
      </c>
      <c r="K24" s="48">
        <v>0</v>
      </c>
      <c r="L24" s="48">
        <v>0</v>
      </c>
      <c r="M24" s="48">
        <v>0</v>
      </c>
      <c r="N24" s="48">
        <v>0</v>
      </c>
      <c r="O24" s="48">
        <v>0</v>
      </c>
      <c r="P24" s="48"/>
      <c r="Q24">
        <v>0</v>
      </c>
    </row>
    <row r="25" spans="1:18" ht="15.75" hidden="1" thickBot="1" x14ac:dyDescent="0.3">
      <c r="A25" s="55">
        <v>30</v>
      </c>
      <c r="B25" s="54">
        <f>'survey priority'!A31</f>
        <v>0</v>
      </c>
      <c r="C25" s="54">
        <f>'survey priority'!C31</f>
        <v>0</v>
      </c>
      <c r="D25" s="54"/>
      <c r="E25" s="55"/>
      <c r="F25" s="56"/>
      <c r="G25" s="48">
        <v>0</v>
      </c>
      <c r="H25" s="48">
        <v>0</v>
      </c>
      <c r="I25" s="48">
        <v>0</v>
      </c>
      <c r="J25" s="48">
        <v>0</v>
      </c>
      <c r="K25" s="48">
        <v>0</v>
      </c>
      <c r="L25" s="48">
        <v>0</v>
      </c>
      <c r="M25" s="48">
        <v>0</v>
      </c>
      <c r="N25" s="48">
        <v>0</v>
      </c>
      <c r="O25" s="48">
        <v>0</v>
      </c>
      <c r="P25" s="48"/>
      <c r="Q25">
        <v>0</v>
      </c>
    </row>
    <row r="26" spans="1:18" ht="15.75" hidden="1" thickBot="1" x14ac:dyDescent="0.3">
      <c r="A26" s="55">
        <v>31</v>
      </c>
      <c r="B26" s="54">
        <f>'survey priority'!A32</f>
        <v>0</v>
      </c>
      <c r="C26" s="54">
        <f>'survey priority'!C32</f>
        <v>0</v>
      </c>
      <c r="D26" s="54"/>
      <c r="E26" s="55"/>
      <c r="F26" s="56"/>
      <c r="G26" s="48">
        <v>0</v>
      </c>
      <c r="H26" s="48">
        <v>0</v>
      </c>
      <c r="I26" s="48">
        <v>0</v>
      </c>
      <c r="J26" s="48">
        <v>0</v>
      </c>
      <c r="K26" s="48">
        <v>0</v>
      </c>
      <c r="L26" s="48">
        <v>0</v>
      </c>
      <c r="M26" s="48">
        <v>0</v>
      </c>
      <c r="N26" s="48">
        <v>0</v>
      </c>
      <c r="O26" s="48">
        <v>0</v>
      </c>
      <c r="P26" s="48"/>
      <c r="Q26">
        <v>0</v>
      </c>
    </row>
    <row r="27" spans="1:18" ht="15.75" hidden="1" thickBot="1" x14ac:dyDescent="0.3">
      <c r="A27" s="55">
        <v>32</v>
      </c>
      <c r="B27" s="54">
        <f>'survey priority'!A33</f>
        <v>0</v>
      </c>
      <c r="C27" s="54">
        <f>'survey priority'!C33</f>
        <v>0</v>
      </c>
      <c r="D27" s="54"/>
      <c r="E27" s="55"/>
      <c r="F27" s="56"/>
      <c r="G27" s="48">
        <v>0</v>
      </c>
      <c r="H27" s="48">
        <v>0</v>
      </c>
      <c r="I27" s="48">
        <v>0</v>
      </c>
      <c r="J27" s="48">
        <v>0</v>
      </c>
      <c r="K27" s="48">
        <v>0</v>
      </c>
      <c r="L27" s="48">
        <v>0</v>
      </c>
      <c r="M27" s="48">
        <v>0</v>
      </c>
      <c r="N27" s="48">
        <v>0</v>
      </c>
      <c r="O27" s="48">
        <v>0</v>
      </c>
      <c r="P27" s="48"/>
      <c r="Q27">
        <v>0</v>
      </c>
    </row>
    <row r="28" spans="1:18" ht="15.75" hidden="1" thickBot="1" x14ac:dyDescent="0.3">
      <c r="A28" s="55">
        <v>33</v>
      </c>
      <c r="B28" s="54">
        <f>'survey priority'!A34</f>
        <v>0</v>
      </c>
      <c r="C28" s="54">
        <f>'survey priority'!C34</f>
        <v>0</v>
      </c>
      <c r="D28" s="54"/>
      <c r="E28" s="55"/>
      <c r="F28" s="56"/>
      <c r="G28" s="48">
        <v>0</v>
      </c>
      <c r="H28" s="48">
        <v>0</v>
      </c>
      <c r="I28" s="48">
        <v>0</v>
      </c>
      <c r="J28" s="48">
        <v>0</v>
      </c>
      <c r="K28" s="48">
        <v>0</v>
      </c>
      <c r="L28" s="48">
        <v>0</v>
      </c>
      <c r="M28" s="48">
        <v>0</v>
      </c>
      <c r="N28" s="48">
        <v>0</v>
      </c>
      <c r="O28" s="48">
        <v>0</v>
      </c>
      <c r="P28" s="48"/>
      <c r="Q28">
        <v>0</v>
      </c>
    </row>
    <row r="29" spans="1:18" ht="15.75" hidden="1" thickBot="1" x14ac:dyDescent="0.3">
      <c r="A29" s="55">
        <v>34</v>
      </c>
      <c r="B29" s="54">
        <f>'survey priority'!A35</f>
        <v>0</v>
      </c>
      <c r="C29" s="54">
        <f>'survey priority'!C35</f>
        <v>0</v>
      </c>
      <c r="D29" s="54"/>
      <c r="E29" s="55"/>
      <c r="F29" s="56"/>
      <c r="G29" s="48">
        <v>0</v>
      </c>
      <c r="H29" s="48">
        <v>0</v>
      </c>
      <c r="I29" s="48">
        <v>0</v>
      </c>
      <c r="J29" s="48">
        <v>0</v>
      </c>
      <c r="K29" s="48">
        <v>0</v>
      </c>
      <c r="L29" s="48">
        <v>0</v>
      </c>
      <c r="M29" s="48">
        <v>0</v>
      </c>
      <c r="N29" s="48">
        <v>0</v>
      </c>
      <c r="O29" s="48">
        <v>0</v>
      </c>
      <c r="P29" s="48"/>
      <c r="Q29">
        <v>0</v>
      </c>
    </row>
    <row r="30" spans="1:18" ht="15.75" hidden="1" thickBot="1" x14ac:dyDescent="0.3">
      <c r="A30" s="55">
        <v>35</v>
      </c>
      <c r="B30" s="54">
        <f>'survey priority'!A36</f>
        <v>0</v>
      </c>
      <c r="C30" s="54">
        <f>'survey priority'!C36</f>
        <v>0</v>
      </c>
      <c r="D30" s="54"/>
      <c r="E30" s="55"/>
      <c r="F30" s="56"/>
      <c r="G30" s="48">
        <v>0</v>
      </c>
      <c r="H30" s="48">
        <v>0</v>
      </c>
      <c r="I30" s="48">
        <v>0</v>
      </c>
      <c r="J30" s="48">
        <v>0</v>
      </c>
      <c r="K30" s="48">
        <v>0</v>
      </c>
      <c r="L30" s="48">
        <v>0</v>
      </c>
      <c r="M30" s="48">
        <v>0</v>
      </c>
      <c r="N30" s="48">
        <v>0</v>
      </c>
      <c r="O30" s="48">
        <v>0</v>
      </c>
      <c r="P30" s="48"/>
      <c r="Q30">
        <v>0</v>
      </c>
    </row>
    <row r="31" spans="1:18" ht="15.75" hidden="1" thickBot="1" x14ac:dyDescent="0.3">
      <c r="A31" s="55">
        <v>36</v>
      </c>
      <c r="B31" s="54">
        <f>'survey priority'!A37</f>
        <v>0</v>
      </c>
      <c r="C31" s="54">
        <f>'survey priority'!C37</f>
        <v>0</v>
      </c>
      <c r="D31" s="54"/>
      <c r="E31" s="55"/>
      <c r="F31" s="56"/>
      <c r="G31" s="48">
        <v>0</v>
      </c>
      <c r="H31" s="48">
        <v>0</v>
      </c>
      <c r="I31" s="48">
        <v>0</v>
      </c>
      <c r="J31" s="48">
        <v>0</v>
      </c>
      <c r="K31" s="48">
        <v>0</v>
      </c>
      <c r="L31" s="48">
        <v>0</v>
      </c>
      <c r="M31" s="48">
        <v>0</v>
      </c>
      <c r="N31" s="48">
        <v>0</v>
      </c>
      <c r="O31" s="48">
        <v>0</v>
      </c>
      <c r="P31" s="48"/>
      <c r="Q31">
        <v>0</v>
      </c>
    </row>
    <row r="32" spans="1:18" ht="15.75" hidden="1" thickBot="1" x14ac:dyDescent="0.3">
      <c r="A32" s="55">
        <v>37</v>
      </c>
      <c r="B32" s="54">
        <f>'survey priority'!A38</f>
        <v>0</v>
      </c>
      <c r="C32" s="54">
        <f>'survey priority'!C38</f>
        <v>0</v>
      </c>
      <c r="D32" s="54"/>
      <c r="E32" s="55"/>
      <c r="F32" s="56"/>
      <c r="G32" s="48">
        <v>0</v>
      </c>
      <c r="H32" s="48">
        <v>0</v>
      </c>
      <c r="I32" s="48">
        <v>0</v>
      </c>
      <c r="J32" s="48">
        <v>0</v>
      </c>
      <c r="K32" s="48">
        <v>0</v>
      </c>
      <c r="L32" s="48">
        <v>0</v>
      </c>
      <c r="M32" s="48">
        <v>0</v>
      </c>
      <c r="N32" s="48">
        <v>0</v>
      </c>
      <c r="O32" s="48">
        <v>0</v>
      </c>
      <c r="P32" s="48"/>
      <c r="Q32">
        <v>0</v>
      </c>
    </row>
    <row r="33" spans="1:17" ht="15.75" hidden="1" thickBot="1" x14ac:dyDescent="0.3">
      <c r="A33" s="55">
        <v>38</v>
      </c>
      <c r="B33" s="54">
        <f>'survey priority'!A39</f>
        <v>0</v>
      </c>
      <c r="C33" s="54">
        <f>'survey priority'!C39</f>
        <v>0</v>
      </c>
      <c r="D33" s="54"/>
      <c r="E33" s="55"/>
      <c r="F33" s="56"/>
      <c r="G33" s="48">
        <v>0</v>
      </c>
      <c r="H33" s="48">
        <v>0</v>
      </c>
      <c r="I33" s="48">
        <v>0</v>
      </c>
      <c r="J33" s="48">
        <v>0</v>
      </c>
      <c r="K33" s="48">
        <v>0</v>
      </c>
      <c r="L33" s="48">
        <v>0</v>
      </c>
      <c r="M33" s="48">
        <v>0</v>
      </c>
      <c r="N33" s="48">
        <v>0</v>
      </c>
      <c r="O33" s="48">
        <v>0</v>
      </c>
      <c r="P33" s="48"/>
      <c r="Q33">
        <v>0</v>
      </c>
    </row>
    <row r="34" spans="1:17" ht="15.75" hidden="1" thickBot="1" x14ac:dyDescent="0.3">
      <c r="A34" s="55">
        <v>39</v>
      </c>
      <c r="B34" s="54">
        <f>'survey priority'!A40</f>
        <v>0</v>
      </c>
      <c r="C34" s="54">
        <f>'survey priority'!C40</f>
        <v>0</v>
      </c>
      <c r="D34" s="54"/>
      <c r="E34" s="55"/>
      <c r="F34" s="56"/>
      <c r="G34" s="48">
        <v>0</v>
      </c>
      <c r="H34" s="48">
        <v>0</v>
      </c>
      <c r="I34" s="48">
        <v>0</v>
      </c>
      <c r="J34" s="48">
        <v>0</v>
      </c>
      <c r="K34" s="48">
        <v>0</v>
      </c>
      <c r="L34" s="48">
        <v>0</v>
      </c>
      <c r="M34" s="48">
        <v>0</v>
      </c>
      <c r="N34" s="48">
        <v>0</v>
      </c>
      <c r="O34" s="48">
        <v>0</v>
      </c>
      <c r="P34" s="48"/>
      <c r="Q34">
        <v>0</v>
      </c>
    </row>
    <row r="35" spans="1:17" ht="15.75" hidden="1" thickBot="1" x14ac:dyDescent="0.3">
      <c r="A35" s="55">
        <v>40</v>
      </c>
      <c r="B35" s="54">
        <f>'survey priority'!A41</f>
        <v>0</v>
      </c>
      <c r="C35" s="54">
        <f>'survey priority'!C41</f>
        <v>0</v>
      </c>
      <c r="D35" s="54"/>
      <c r="E35" s="55"/>
      <c r="F35" s="56"/>
      <c r="G35" s="48">
        <v>0</v>
      </c>
      <c r="H35" s="48">
        <v>0</v>
      </c>
      <c r="I35" s="48">
        <v>0</v>
      </c>
      <c r="J35" s="48">
        <v>0</v>
      </c>
      <c r="K35" s="48">
        <v>0</v>
      </c>
      <c r="L35" s="48">
        <v>0</v>
      </c>
      <c r="M35" s="48">
        <v>0</v>
      </c>
      <c r="N35" s="48">
        <v>0</v>
      </c>
      <c r="O35" s="48">
        <v>0</v>
      </c>
      <c r="P35" s="48"/>
      <c r="Q35">
        <v>0</v>
      </c>
    </row>
    <row r="36" spans="1:17" ht="15.75" hidden="1" thickBot="1" x14ac:dyDescent="0.3">
      <c r="A36" s="55">
        <v>41</v>
      </c>
      <c r="B36" s="54">
        <f>'survey priority'!A42</f>
        <v>0</v>
      </c>
      <c r="C36" s="54">
        <f>'survey priority'!C42</f>
        <v>0</v>
      </c>
      <c r="D36" s="54"/>
      <c r="E36" s="55"/>
      <c r="F36" s="56"/>
      <c r="G36" s="48">
        <v>0</v>
      </c>
      <c r="H36" s="48">
        <v>0</v>
      </c>
      <c r="I36" s="48">
        <v>0</v>
      </c>
      <c r="J36" s="48">
        <v>0</v>
      </c>
      <c r="K36" s="48">
        <v>0</v>
      </c>
      <c r="L36" s="48">
        <v>0</v>
      </c>
      <c r="M36" s="48">
        <v>0</v>
      </c>
      <c r="N36" s="48">
        <v>0</v>
      </c>
      <c r="O36" s="48">
        <v>0</v>
      </c>
      <c r="P36" s="48"/>
      <c r="Q36">
        <v>0</v>
      </c>
    </row>
    <row r="37" spans="1:17" ht="15.75" hidden="1" thickBot="1" x14ac:dyDescent="0.3">
      <c r="A37" s="55">
        <v>42</v>
      </c>
      <c r="B37" s="54">
        <f>'survey priority'!A43</f>
        <v>0</v>
      </c>
      <c r="C37" s="54">
        <f>'survey priority'!C43</f>
        <v>0</v>
      </c>
      <c r="D37" s="54"/>
      <c r="E37" s="55"/>
      <c r="F37" s="56"/>
      <c r="G37" s="48">
        <v>0</v>
      </c>
      <c r="H37" s="48">
        <v>0</v>
      </c>
      <c r="I37" s="48">
        <v>0</v>
      </c>
      <c r="J37" s="48">
        <v>0</v>
      </c>
      <c r="K37" s="48">
        <v>0</v>
      </c>
      <c r="L37" s="48">
        <v>0</v>
      </c>
      <c r="M37" s="48">
        <v>0</v>
      </c>
      <c r="N37" s="48">
        <v>0</v>
      </c>
      <c r="O37" s="48">
        <v>0</v>
      </c>
      <c r="P37" s="48"/>
      <c r="Q37">
        <v>0</v>
      </c>
    </row>
    <row r="38" spans="1:17" ht="15.75" hidden="1" thickBot="1" x14ac:dyDescent="0.3">
      <c r="A38" s="55">
        <v>43</v>
      </c>
      <c r="B38" s="54">
        <f>'survey priority'!A44</f>
        <v>0</v>
      </c>
      <c r="C38" s="54">
        <f>'survey priority'!C44</f>
        <v>0</v>
      </c>
      <c r="D38" s="54"/>
      <c r="E38" s="55"/>
      <c r="F38" s="56"/>
      <c r="G38" s="48">
        <v>0</v>
      </c>
      <c r="H38" s="48">
        <v>0</v>
      </c>
      <c r="I38" s="48">
        <v>0</v>
      </c>
      <c r="J38" s="48">
        <v>0</v>
      </c>
      <c r="K38" s="48">
        <v>0</v>
      </c>
      <c r="L38" s="48">
        <v>0</v>
      </c>
      <c r="M38" s="48">
        <v>0</v>
      </c>
      <c r="N38" s="48">
        <v>0</v>
      </c>
      <c r="O38" s="48">
        <v>0</v>
      </c>
      <c r="P38" s="48"/>
      <c r="Q38">
        <v>0</v>
      </c>
    </row>
    <row r="39" spans="1:17" ht="15.75" hidden="1" thickBot="1" x14ac:dyDescent="0.3">
      <c r="A39" s="55">
        <v>44</v>
      </c>
      <c r="B39" s="54">
        <f>'survey priority'!A45</f>
        <v>0</v>
      </c>
      <c r="C39" s="54">
        <f>'survey priority'!C45</f>
        <v>0</v>
      </c>
      <c r="D39" s="54"/>
      <c r="E39" s="55"/>
      <c r="F39" s="56"/>
      <c r="G39" s="48">
        <v>0</v>
      </c>
      <c r="H39" s="48">
        <v>0</v>
      </c>
      <c r="I39" s="48">
        <v>0</v>
      </c>
      <c r="J39" s="48">
        <v>0</v>
      </c>
      <c r="K39" s="48">
        <v>0</v>
      </c>
      <c r="L39" s="48">
        <v>0</v>
      </c>
      <c r="M39" s="48">
        <v>0</v>
      </c>
      <c r="N39" s="48">
        <v>0</v>
      </c>
      <c r="O39" s="48">
        <v>0</v>
      </c>
      <c r="P39" s="48"/>
      <c r="Q39">
        <v>0</v>
      </c>
    </row>
    <row r="40" spans="1:17" ht="15.75" hidden="1" thickBot="1" x14ac:dyDescent="0.3">
      <c r="A40" s="55">
        <v>45</v>
      </c>
      <c r="B40" s="54">
        <f>'survey priority'!A46</f>
        <v>0</v>
      </c>
      <c r="C40" s="54">
        <f>'survey priority'!C46</f>
        <v>0</v>
      </c>
      <c r="D40" s="54"/>
      <c r="E40" s="55"/>
      <c r="F40" s="56"/>
      <c r="G40" s="48">
        <v>0</v>
      </c>
      <c r="H40" s="48">
        <v>0</v>
      </c>
      <c r="I40" s="48">
        <v>0</v>
      </c>
      <c r="J40" s="48">
        <v>0</v>
      </c>
      <c r="K40" s="48">
        <v>0</v>
      </c>
      <c r="L40" s="48">
        <v>0</v>
      </c>
      <c r="M40" s="48">
        <v>0</v>
      </c>
      <c r="N40" s="48">
        <v>0</v>
      </c>
      <c r="O40" s="48">
        <v>0</v>
      </c>
      <c r="P40" s="48"/>
      <c r="Q40">
        <v>0</v>
      </c>
    </row>
    <row r="41" spans="1:17" ht="15.75" hidden="1" thickBot="1" x14ac:dyDescent="0.3">
      <c r="A41" s="55">
        <v>46</v>
      </c>
      <c r="B41" s="54">
        <f>'survey priority'!A47</f>
        <v>0</v>
      </c>
      <c r="C41" s="54">
        <f>'survey priority'!C47</f>
        <v>0</v>
      </c>
      <c r="D41" s="54"/>
      <c r="E41" s="55"/>
      <c r="F41" s="56"/>
      <c r="G41" s="48">
        <v>0</v>
      </c>
      <c r="H41" s="48">
        <v>0</v>
      </c>
      <c r="I41" s="48">
        <v>0</v>
      </c>
      <c r="J41" s="48">
        <v>0</v>
      </c>
      <c r="K41" s="48">
        <v>0</v>
      </c>
      <c r="L41" s="48">
        <v>0</v>
      </c>
      <c r="M41" s="48">
        <v>0</v>
      </c>
      <c r="N41" s="48">
        <v>0</v>
      </c>
      <c r="O41" s="48">
        <v>0</v>
      </c>
      <c r="P41" s="48"/>
      <c r="Q41">
        <v>0</v>
      </c>
    </row>
    <row r="42" spans="1:17" ht="15.75" hidden="1" thickBot="1" x14ac:dyDescent="0.3">
      <c r="A42" s="55">
        <v>47</v>
      </c>
      <c r="B42" s="54">
        <f>'survey priority'!A48</f>
        <v>0</v>
      </c>
      <c r="C42" s="54">
        <f>'survey priority'!C48</f>
        <v>0</v>
      </c>
      <c r="D42" s="54"/>
      <c r="E42" s="55"/>
      <c r="F42" s="56"/>
      <c r="G42" s="48">
        <v>0</v>
      </c>
      <c r="H42" s="48">
        <v>0</v>
      </c>
      <c r="I42" s="48">
        <v>0</v>
      </c>
      <c r="J42" s="48">
        <v>0</v>
      </c>
      <c r="K42" s="48">
        <v>0</v>
      </c>
      <c r="L42" s="48">
        <v>0</v>
      </c>
      <c r="M42" s="48">
        <v>0</v>
      </c>
      <c r="N42" s="48">
        <v>0</v>
      </c>
      <c r="O42" s="48">
        <v>0</v>
      </c>
      <c r="P42" s="48"/>
      <c r="Q42">
        <v>0</v>
      </c>
    </row>
    <row r="43" spans="1:17" ht="15.75" hidden="1" thickBot="1" x14ac:dyDescent="0.3">
      <c r="A43" s="55">
        <v>48</v>
      </c>
      <c r="B43" s="54">
        <f>'survey priority'!A49</f>
        <v>0</v>
      </c>
      <c r="C43" s="54">
        <f>'survey priority'!C49</f>
        <v>0</v>
      </c>
      <c r="D43" s="54"/>
      <c r="E43" s="55"/>
      <c r="F43" s="56"/>
      <c r="G43" s="48">
        <v>0</v>
      </c>
      <c r="H43" s="48">
        <v>0</v>
      </c>
      <c r="I43" s="48">
        <v>0</v>
      </c>
      <c r="J43" s="48">
        <v>0</v>
      </c>
      <c r="K43" s="48">
        <v>0</v>
      </c>
      <c r="L43" s="48">
        <v>0</v>
      </c>
      <c r="M43" s="48">
        <v>0</v>
      </c>
      <c r="N43" s="48">
        <v>0</v>
      </c>
      <c r="O43" s="48">
        <v>0</v>
      </c>
      <c r="P43" s="48"/>
      <c r="Q43">
        <v>0</v>
      </c>
    </row>
    <row r="44" spans="1:17" ht="15.75" hidden="1" thickBot="1" x14ac:dyDescent="0.3">
      <c r="A44" s="55">
        <v>49</v>
      </c>
      <c r="B44" s="54">
        <f>'survey priority'!A50</f>
        <v>0</v>
      </c>
      <c r="C44" s="54">
        <f>'survey priority'!C50</f>
        <v>0</v>
      </c>
      <c r="D44" s="54"/>
      <c r="E44" s="55"/>
      <c r="F44" s="56"/>
      <c r="G44" s="48">
        <v>0</v>
      </c>
      <c r="H44" s="48">
        <v>0</v>
      </c>
      <c r="I44" s="48">
        <v>0</v>
      </c>
      <c r="J44" s="48">
        <v>0</v>
      </c>
      <c r="K44" s="48">
        <v>0</v>
      </c>
      <c r="L44" s="48">
        <v>0</v>
      </c>
      <c r="M44" s="48">
        <v>0</v>
      </c>
      <c r="N44" s="48">
        <v>0</v>
      </c>
      <c r="O44" s="48">
        <v>0</v>
      </c>
      <c r="P44" s="48"/>
      <c r="Q44">
        <v>0</v>
      </c>
    </row>
    <row r="45" spans="1:17" s="19" customFormat="1" ht="15.75" hidden="1" thickBot="1" x14ac:dyDescent="0.3">
      <c r="A45" s="59">
        <v>50</v>
      </c>
      <c r="B45" s="54">
        <f>'survey priority'!A51</f>
        <v>0</v>
      </c>
      <c r="C45" s="54">
        <f>'survey priority'!C51</f>
        <v>0</v>
      </c>
      <c r="D45" s="54"/>
      <c r="E45" s="55"/>
      <c r="F45" s="56"/>
      <c r="G45" s="60">
        <v>0</v>
      </c>
      <c r="H45" s="60">
        <v>0</v>
      </c>
      <c r="I45" s="60">
        <v>0</v>
      </c>
      <c r="J45" s="60">
        <v>0</v>
      </c>
      <c r="K45" s="60">
        <v>0</v>
      </c>
      <c r="L45" s="60">
        <v>0</v>
      </c>
      <c r="M45" s="60">
        <v>0</v>
      </c>
      <c r="N45" s="60">
        <v>0</v>
      </c>
      <c r="O45" s="60">
        <v>0</v>
      </c>
      <c r="P45" s="60"/>
      <c r="Q45" s="19">
        <v>0</v>
      </c>
    </row>
    <row r="46" spans="1:17" ht="15.75" hidden="1" thickBot="1" x14ac:dyDescent="0.3">
      <c r="I46" s="20">
        <v>0</v>
      </c>
      <c r="J46" s="20">
        <v>0</v>
      </c>
      <c r="K46" s="20">
        <v>0</v>
      </c>
      <c r="L46" s="20">
        <v>0</v>
      </c>
      <c r="M46" s="20">
        <v>0</v>
      </c>
      <c r="N46" s="20">
        <v>0</v>
      </c>
      <c r="O46" s="20">
        <v>0</v>
      </c>
      <c r="Q46">
        <v>0</v>
      </c>
    </row>
    <row r="47" spans="1:17" ht="15.75" hidden="1" thickBot="1" x14ac:dyDescent="0.3">
      <c r="I47" s="20">
        <v>0</v>
      </c>
      <c r="J47" s="20">
        <v>0</v>
      </c>
      <c r="K47" s="20">
        <v>0</v>
      </c>
      <c r="L47" s="20">
        <v>0</v>
      </c>
      <c r="M47" s="20">
        <v>0</v>
      </c>
      <c r="N47" s="20">
        <v>0</v>
      </c>
      <c r="O47" s="20">
        <v>0</v>
      </c>
      <c r="Q47">
        <v>0</v>
      </c>
    </row>
    <row r="48" spans="1:17" ht="15.75" hidden="1" thickBot="1" x14ac:dyDescent="0.3">
      <c r="I48" s="20">
        <v>0</v>
      </c>
      <c r="J48" s="20">
        <v>0</v>
      </c>
      <c r="K48" s="20">
        <v>0</v>
      </c>
      <c r="L48" s="20">
        <v>0</v>
      </c>
      <c r="M48" s="20">
        <v>0</v>
      </c>
      <c r="N48" s="20">
        <v>0</v>
      </c>
      <c r="O48" s="20">
        <v>0</v>
      </c>
      <c r="Q48">
        <v>0</v>
      </c>
    </row>
    <row r="49" spans="6:28" ht="15.75" hidden="1" thickBot="1" x14ac:dyDescent="0.3">
      <c r="I49" s="20">
        <v>0</v>
      </c>
      <c r="J49" s="20">
        <v>0</v>
      </c>
      <c r="K49" s="20">
        <v>0</v>
      </c>
      <c r="L49" s="20">
        <v>0</v>
      </c>
      <c r="M49" s="20">
        <v>0</v>
      </c>
      <c r="N49" s="20">
        <v>0</v>
      </c>
      <c r="O49" s="20">
        <v>0</v>
      </c>
      <c r="Q49">
        <v>0</v>
      </c>
    </row>
    <row r="50" spans="6:28" ht="15.75" hidden="1" thickBot="1" x14ac:dyDescent="0.3">
      <c r="I50" s="20">
        <v>0</v>
      </c>
      <c r="J50" s="20">
        <v>0</v>
      </c>
      <c r="K50" s="20">
        <v>0</v>
      </c>
      <c r="L50" s="20">
        <v>0</v>
      </c>
      <c r="M50" s="20">
        <v>0</v>
      </c>
      <c r="N50" s="20">
        <v>0</v>
      </c>
      <c r="O50" s="20">
        <v>0</v>
      </c>
      <c r="Q50">
        <v>0</v>
      </c>
    </row>
    <row r="51" spans="6:28" ht="15.75" hidden="1" thickBot="1" x14ac:dyDescent="0.3">
      <c r="I51" s="20">
        <v>0</v>
      </c>
      <c r="J51" s="20">
        <v>0</v>
      </c>
      <c r="K51" s="20">
        <v>0</v>
      </c>
      <c r="L51" s="20">
        <v>0</v>
      </c>
      <c r="M51" s="20">
        <v>0</v>
      </c>
      <c r="N51" s="20">
        <v>0</v>
      </c>
      <c r="O51" s="20">
        <v>0</v>
      </c>
      <c r="Q51">
        <v>0</v>
      </c>
    </row>
    <row r="52" spans="6:28" ht="15.75" hidden="1" thickBot="1" x14ac:dyDescent="0.3">
      <c r="I52" s="20">
        <v>0</v>
      </c>
      <c r="J52" s="20">
        <v>0</v>
      </c>
      <c r="K52" s="20">
        <v>0</v>
      </c>
      <c r="L52" s="20">
        <v>0</v>
      </c>
      <c r="M52" s="20">
        <v>0</v>
      </c>
      <c r="N52" s="20">
        <v>0</v>
      </c>
      <c r="O52" s="20">
        <v>0</v>
      </c>
      <c r="Q52">
        <v>0</v>
      </c>
    </row>
    <row r="53" spans="6:28" ht="15.75" hidden="1" thickBot="1" x14ac:dyDescent="0.3">
      <c r="I53" s="20">
        <v>0</v>
      </c>
      <c r="J53" s="20">
        <v>0</v>
      </c>
      <c r="K53" s="20">
        <v>0</v>
      </c>
      <c r="L53" s="20">
        <v>0</v>
      </c>
      <c r="M53" s="20">
        <v>0</v>
      </c>
      <c r="N53" s="20">
        <v>0</v>
      </c>
      <c r="O53" s="20">
        <v>0</v>
      </c>
      <c r="Q53">
        <v>0</v>
      </c>
    </row>
    <row r="54" spans="6:28" ht="16.5" thickTop="1" thickBot="1" x14ac:dyDescent="0.3">
      <c r="F54" s="66" t="str">
        <f>'portfolio builder'!A2</f>
        <v>return on effort</v>
      </c>
      <c r="G54" s="67">
        <f>SUMPRODUCT($F$4:$F$21,G4:G21)</f>
        <v>3.1290988440669976</v>
      </c>
      <c r="H54" s="67">
        <f t="shared" ref="H54:AB54" si="1">SUMPRODUCT($F$4:$F$21,H4:H21)</f>
        <v>3.540582684595424</v>
      </c>
      <c r="I54" s="67">
        <f t="shared" si="1"/>
        <v>3.0803609341825906</v>
      </c>
      <c r="J54" s="67">
        <f t="shared" si="1"/>
        <v>3.7159212078320367</v>
      </c>
      <c r="K54" s="67">
        <f t="shared" si="1"/>
        <v>2.8921467327199815</v>
      </c>
      <c r="L54" s="67">
        <f t="shared" si="1"/>
        <v>3.5069757018164669</v>
      </c>
      <c r="M54" s="67">
        <f t="shared" si="1"/>
        <v>3.527829676810569</v>
      </c>
      <c r="N54" s="67">
        <f t="shared" si="1"/>
        <v>3.5342368483132822</v>
      </c>
      <c r="O54" s="67">
        <f t="shared" si="1"/>
        <v>3.527829676810569</v>
      </c>
      <c r="P54" s="67">
        <f t="shared" ref="P54" si="2">SUMPRODUCT($F$4:$F$21,P4:P21)</f>
        <v>3.540582684595424</v>
      </c>
      <c r="Q54" s="67">
        <f t="shared" si="1"/>
        <v>3.2328308563340413</v>
      </c>
      <c r="R54" s="67">
        <f t="shared" si="1"/>
        <v>1.1850955414012738</v>
      </c>
      <c r="S54" s="67">
        <f t="shared" si="1"/>
        <v>0</v>
      </c>
      <c r="T54" s="67">
        <f t="shared" si="1"/>
        <v>0</v>
      </c>
      <c r="U54" s="67">
        <f t="shared" si="1"/>
        <v>0</v>
      </c>
      <c r="V54" s="67">
        <f t="shared" si="1"/>
        <v>0</v>
      </c>
      <c r="W54" s="67">
        <f t="shared" si="1"/>
        <v>0</v>
      </c>
      <c r="X54" s="67">
        <f t="shared" si="1"/>
        <v>0</v>
      </c>
      <c r="Y54" s="67">
        <f t="shared" si="1"/>
        <v>0</v>
      </c>
      <c r="Z54" s="67">
        <f t="shared" si="1"/>
        <v>0</v>
      </c>
      <c r="AA54" s="67">
        <f t="shared" si="1"/>
        <v>0</v>
      </c>
      <c r="AB54" s="67">
        <f t="shared" si="1"/>
        <v>0</v>
      </c>
    </row>
    <row r="55" spans="6:28" ht="16.5" thickTop="1" thickBot="1" x14ac:dyDescent="0.3">
      <c r="F55" s="66" t="s">
        <v>52</v>
      </c>
      <c r="G55" s="67">
        <f>SUMPRODUCT($D$4:$D$21,G4:G21)</f>
        <v>8.1499999999999986</v>
      </c>
      <c r="H55" s="67">
        <f t="shared" ref="H55:AB55" si="3">SUMPRODUCT($D$4:$D$21,H4:H21)</f>
        <v>8.1499999999999986</v>
      </c>
      <c r="I55" s="67">
        <f t="shared" si="3"/>
        <v>4.2</v>
      </c>
      <c r="J55" s="67">
        <f t="shared" si="3"/>
        <v>13.749999999999998</v>
      </c>
      <c r="K55" s="67">
        <f t="shared" si="3"/>
        <v>8.4</v>
      </c>
      <c r="L55" s="67">
        <f t="shared" si="3"/>
        <v>8.1499999999999986</v>
      </c>
      <c r="M55" s="67">
        <f t="shared" si="3"/>
        <v>8.35</v>
      </c>
      <c r="N55" s="67">
        <f t="shared" si="3"/>
        <v>7.9499999999999984</v>
      </c>
      <c r="O55" s="67">
        <f t="shared" si="3"/>
        <v>8.35</v>
      </c>
      <c r="P55" s="67">
        <f t="shared" ref="P55" si="4">SUMPRODUCT($D$4:$D$21,P4:P21)</f>
        <v>8.1499999999999986</v>
      </c>
      <c r="Q55" s="67">
        <f t="shared" si="3"/>
        <v>8.1499999999999986</v>
      </c>
      <c r="R55" s="67">
        <f t="shared" si="3"/>
        <v>5.6499999999999995</v>
      </c>
      <c r="S55" s="67">
        <f t="shared" si="3"/>
        <v>0</v>
      </c>
      <c r="T55" s="67">
        <f t="shared" si="3"/>
        <v>0</v>
      </c>
      <c r="U55" s="67">
        <f t="shared" si="3"/>
        <v>0</v>
      </c>
      <c r="V55" s="67">
        <f t="shared" si="3"/>
        <v>0</v>
      </c>
      <c r="W55" s="67">
        <f t="shared" si="3"/>
        <v>0</v>
      </c>
      <c r="X55" s="67">
        <f t="shared" si="3"/>
        <v>0</v>
      </c>
      <c r="Y55" s="67">
        <f t="shared" si="3"/>
        <v>0</v>
      </c>
      <c r="Z55" s="67">
        <f t="shared" si="3"/>
        <v>0</v>
      </c>
      <c r="AA55" s="67">
        <f t="shared" si="3"/>
        <v>0</v>
      </c>
      <c r="AB55" s="67">
        <f t="shared" si="3"/>
        <v>0</v>
      </c>
    </row>
    <row r="56" spans="6:28" ht="16.5" thickTop="1" thickBot="1" x14ac:dyDescent="0.3">
      <c r="F56" s="67" t="s">
        <v>58</v>
      </c>
      <c r="G56" s="66">
        <f>SUM(G4:G21)</f>
        <v>12</v>
      </c>
      <c r="H56" s="66">
        <f t="shared" ref="H56:AB56" si="5">SUM(H4:H21)</f>
        <v>14</v>
      </c>
      <c r="I56" s="66">
        <f t="shared" si="5"/>
        <v>8</v>
      </c>
      <c r="J56" s="66">
        <f t="shared" si="5"/>
        <v>18</v>
      </c>
      <c r="K56" s="66">
        <f t="shared" si="5"/>
        <v>10</v>
      </c>
      <c r="L56" s="66">
        <f t="shared" si="5"/>
        <v>14</v>
      </c>
      <c r="M56" s="66">
        <f t="shared" si="5"/>
        <v>14</v>
      </c>
      <c r="N56" s="66">
        <f t="shared" si="5"/>
        <v>14</v>
      </c>
      <c r="O56" s="66">
        <f t="shared" si="5"/>
        <v>14</v>
      </c>
      <c r="P56" s="66">
        <f t="shared" ref="P56" si="6">SUM(P4:P21)</f>
        <v>14</v>
      </c>
      <c r="Q56" s="68">
        <f t="shared" si="5"/>
        <v>14</v>
      </c>
      <c r="R56" s="68">
        <f t="shared" si="5"/>
        <v>10</v>
      </c>
      <c r="S56" s="68">
        <f t="shared" si="5"/>
        <v>0</v>
      </c>
      <c r="T56" s="68">
        <f t="shared" si="5"/>
        <v>0</v>
      </c>
      <c r="U56" s="68">
        <f t="shared" si="5"/>
        <v>0</v>
      </c>
      <c r="V56" s="68">
        <f t="shared" si="5"/>
        <v>0</v>
      </c>
      <c r="W56" s="68">
        <f t="shared" si="5"/>
        <v>0</v>
      </c>
      <c r="X56" s="68">
        <f t="shared" si="5"/>
        <v>0</v>
      </c>
      <c r="Y56" s="68">
        <f t="shared" si="5"/>
        <v>0</v>
      </c>
      <c r="Z56" s="68">
        <f t="shared" si="5"/>
        <v>0</v>
      </c>
      <c r="AA56" s="68">
        <f t="shared" si="5"/>
        <v>0</v>
      </c>
      <c r="AB56" s="68">
        <f t="shared" si="5"/>
        <v>0</v>
      </c>
    </row>
    <row r="57" spans="6:28" ht="15.75" thickTop="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J55"/>
  <sheetViews>
    <sheetView zoomScaleNormal="100" workbookViewId="0">
      <selection activeCell="G20" sqref="G20"/>
    </sheetView>
  </sheetViews>
  <sheetFormatPr defaultColWidth="8.85546875" defaultRowHeight="12.75" x14ac:dyDescent="0.2"/>
  <cols>
    <col min="1" max="1" width="45.28515625" style="14" customWidth="1"/>
    <col min="2" max="2" width="21.42578125" style="14" customWidth="1"/>
    <col min="3" max="3" width="29.7109375" style="14" customWidth="1"/>
    <col min="4" max="4" width="9.5703125" style="7" customWidth="1"/>
    <col min="5" max="5" width="8.85546875" style="2" customWidth="1"/>
    <col min="6" max="16384" width="8.85546875" style="2"/>
  </cols>
  <sheetData>
    <row r="1" spans="1:10" ht="14.25" thickTop="1" thickBot="1" x14ac:dyDescent="0.25">
      <c r="A1" s="69" t="s">
        <v>57</v>
      </c>
      <c r="B1" s="62"/>
      <c r="C1" s="63" t="s">
        <v>2</v>
      </c>
      <c r="D1" s="1">
        <v>8.5</v>
      </c>
    </row>
    <row r="2" spans="1:10" ht="13.5" thickTop="1" x14ac:dyDescent="0.2">
      <c r="A2" s="70" t="s">
        <v>3</v>
      </c>
      <c r="B2" s="64">
        <f>SUMPRODUCT(table!F4:F21,'portfolio builder'!C6:C23)</f>
        <v>3.540582684595424</v>
      </c>
      <c r="C2" s="61" t="s">
        <v>4</v>
      </c>
      <c r="D2" s="65">
        <f>SUMPRODUCT(C6:C23,table!D4:D21)</f>
        <v>8.1499999999999986</v>
      </c>
    </row>
    <row r="3" spans="1:10" ht="13.5" thickBot="1" x14ac:dyDescent="0.25">
      <c r="A3" s="4"/>
      <c r="B3" s="3"/>
      <c r="C3" s="4"/>
      <c r="D3" s="5" t="s">
        <v>5</v>
      </c>
      <c r="E3" s="6" t="s">
        <v>5</v>
      </c>
    </row>
    <row r="4" spans="1:10" x14ac:dyDescent="0.2">
      <c r="A4" s="71"/>
      <c r="B4" s="49" t="s">
        <v>47</v>
      </c>
      <c r="C4" s="50" t="s">
        <v>53</v>
      </c>
      <c r="I4" s="155" t="s">
        <v>157</v>
      </c>
      <c r="J4" s="154"/>
    </row>
    <row r="5" spans="1:10" ht="13.5" thickBot="1" x14ac:dyDescent="0.25">
      <c r="A5" s="72" t="s">
        <v>46</v>
      </c>
      <c r="B5" s="51" t="s">
        <v>48</v>
      </c>
      <c r="C5" s="52" t="s">
        <v>54</v>
      </c>
    </row>
    <row r="6" spans="1:10" x14ac:dyDescent="0.2">
      <c r="A6" s="152" t="str">
        <f>table!B4</f>
        <v>Stream Cond</v>
      </c>
      <c r="B6" s="8" t="s">
        <v>5</v>
      </c>
      <c r="C6" s="9">
        <v>1</v>
      </c>
    </row>
    <row r="7" spans="1:10" x14ac:dyDescent="0.2">
      <c r="A7" s="153" t="str">
        <f>table!B5</f>
        <v>Restor Fish</v>
      </c>
      <c r="B7" s="10" t="s">
        <v>5</v>
      </c>
      <c r="C7" s="9">
        <v>1</v>
      </c>
    </row>
    <row r="8" spans="1:10" x14ac:dyDescent="0.2">
      <c r="A8" s="153" t="str">
        <f>table!B6</f>
        <v>Fish Index</v>
      </c>
      <c r="B8" s="10" t="s">
        <v>51</v>
      </c>
      <c r="C8" s="9">
        <v>1</v>
      </c>
    </row>
    <row r="9" spans="1:10" x14ac:dyDescent="0.2">
      <c r="A9" s="153" t="str">
        <f>table!B7</f>
        <v>Fish Comp</v>
      </c>
      <c r="B9" s="10" t="s">
        <v>5</v>
      </c>
      <c r="C9" s="9">
        <v>1</v>
      </c>
    </row>
    <row r="10" spans="1:10" x14ac:dyDescent="0.2">
      <c r="A10" s="153" t="str">
        <f>table!B8</f>
        <v>Stream gage</v>
      </c>
      <c r="B10" s="10" t="s">
        <v>5</v>
      </c>
      <c r="C10" s="9">
        <v>1</v>
      </c>
    </row>
    <row r="11" spans="1:10" x14ac:dyDescent="0.2">
      <c r="A11" s="152" t="str">
        <f>table!B9</f>
        <v>Culverts</v>
      </c>
      <c r="B11" s="10"/>
      <c r="C11" s="9">
        <v>1</v>
      </c>
    </row>
    <row r="12" spans="1:10" x14ac:dyDescent="0.2">
      <c r="A12" s="153" t="str">
        <f>table!B10</f>
        <v>PIT</v>
      </c>
      <c r="B12" s="10"/>
      <c r="C12" s="9">
        <v>1</v>
      </c>
    </row>
    <row r="13" spans="1:10" x14ac:dyDescent="0.2">
      <c r="A13" s="152" t="str">
        <f>table!B11</f>
        <v>Invasive</v>
      </c>
      <c r="B13" s="10"/>
      <c r="C13" s="9">
        <v>0</v>
      </c>
    </row>
    <row r="14" spans="1:10" x14ac:dyDescent="0.2">
      <c r="A14" s="153" t="str">
        <f>table!B12</f>
        <v>IWMM</v>
      </c>
      <c r="B14" s="10"/>
      <c r="C14" s="9">
        <v>1</v>
      </c>
    </row>
    <row r="15" spans="1:10" x14ac:dyDescent="0.2">
      <c r="A15" s="153" t="str">
        <f>table!B13</f>
        <v>Stream Habit</v>
      </c>
      <c r="B15" s="8"/>
      <c r="C15" s="9">
        <v>1</v>
      </c>
    </row>
    <row r="16" spans="1:10" x14ac:dyDescent="0.2">
      <c r="A16" s="152" t="str">
        <f>table!B14</f>
        <v>Bat</v>
      </c>
      <c r="B16" s="10"/>
      <c r="C16" s="9">
        <v>1</v>
      </c>
    </row>
    <row r="17" spans="1:3" x14ac:dyDescent="0.2">
      <c r="A17" s="152" t="str">
        <f>table!B15</f>
        <v>Stream Topo</v>
      </c>
      <c r="B17" s="8"/>
      <c r="C17" s="9">
        <v>0</v>
      </c>
    </row>
    <row r="18" spans="1:3" x14ac:dyDescent="0.2">
      <c r="A18" s="152" t="str">
        <f>table!B16</f>
        <v>Map Lowland</v>
      </c>
      <c r="B18" s="10"/>
      <c r="C18" s="9">
        <v>1</v>
      </c>
    </row>
    <row r="19" spans="1:3" x14ac:dyDescent="0.2">
      <c r="A19" s="153" t="str">
        <f>table!B17</f>
        <v>Macroinvert</v>
      </c>
      <c r="B19" s="10"/>
      <c r="C19" s="9">
        <v>1</v>
      </c>
    </row>
    <row r="20" spans="1:3" x14ac:dyDescent="0.2">
      <c r="A20" s="153" t="str">
        <f>table!B18</f>
        <v>Point Count</v>
      </c>
      <c r="B20" s="8"/>
      <c r="C20" s="9">
        <v>0</v>
      </c>
    </row>
    <row r="21" spans="1:3" x14ac:dyDescent="0.2">
      <c r="A21" s="152" t="str">
        <f>table!B19</f>
        <v>Turtle</v>
      </c>
      <c r="B21" s="10"/>
      <c r="C21" s="9">
        <v>1</v>
      </c>
    </row>
    <row r="22" spans="1:3" x14ac:dyDescent="0.2">
      <c r="A22" s="153" t="str">
        <f>table!B20</f>
        <v>Photo Stream</v>
      </c>
      <c r="B22" s="10"/>
      <c r="C22" s="9">
        <v>0</v>
      </c>
    </row>
    <row r="23" spans="1:3" x14ac:dyDescent="0.2">
      <c r="A23" s="152" t="str">
        <f>table!B21</f>
        <v>Blduck Nest</v>
      </c>
      <c r="B23" s="8"/>
      <c r="C23" s="9">
        <v>1</v>
      </c>
    </row>
    <row r="24" spans="1:3" x14ac:dyDescent="0.2">
      <c r="A24" s="73"/>
      <c r="B24" s="10"/>
      <c r="C24" s="9">
        <v>0</v>
      </c>
    </row>
    <row r="25" spans="1:3" x14ac:dyDescent="0.2">
      <c r="A25" s="73"/>
      <c r="B25" s="10"/>
      <c r="C25" s="9">
        <v>0</v>
      </c>
    </row>
    <row r="26" spans="1:3" x14ac:dyDescent="0.2">
      <c r="A26" s="73"/>
      <c r="B26" s="10"/>
      <c r="C26" s="9">
        <v>0</v>
      </c>
    </row>
    <row r="27" spans="1:3" x14ac:dyDescent="0.2">
      <c r="A27" s="73"/>
      <c r="B27" s="10"/>
      <c r="C27" s="9">
        <v>0</v>
      </c>
    </row>
    <row r="28" spans="1:3" x14ac:dyDescent="0.2">
      <c r="A28" s="73"/>
      <c r="B28" s="10"/>
      <c r="C28" s="9">
        <v>0</v>
      </c>
    </row>
    <row r="29" spans="1:3" x14ac:dyDescent="0.2">
      <c r="A29" s="73"/>
      <c r="B29" s="10"/>
      <c r="C29" s="9">
        <v>0</v>
      </c>
    </row>
    <row r="30" spans="1:3" x14ac:dyDescent="0.2">
      <c r="A30" s="73"/>
      <c r="B30" s="10"/>
      <c r="C30" s="9">
        <v>0</v>
      </c>
    </row>
    <row r="31" spans="1:3" x14ac:dyDescent="0.2">
      <c r="A31" s="73"/>
      <c r="B31" s="10"/>
      <c r="C31" s="9">
        <v>0</v>
      </c>
    </row>
    <row r="32" spans="1:3" x14ac:dyDescent="0.2">
      <c r="A32" s="73"/>
      <c r="B32" s="10"/>
      <c r="C32" s="9">
        <v>0</v>
      </c>
    </row>
    <row r="33" spans="1:3" x14ac:dyDescent="0.2">
      <c r="A33" s="73"/>
      <c r="B33" s="10"/>
      <c r="C33" s="9">
        <v>0</v>
      </c>
    </row>
    <row r="34" spans="1:3" x14ac:dyDescent="0.2">
      <c r="A34" s="73"/>
      <c r="B34" s="10"/>
      <c r="C34" s="9">
        <v>0</v>
      </c>
    </row>
    <row r="35" spans="1:3" x14ac:dyDescent="0.2">
      <c r="A35" s="73"/>
      <c r="B35" s="10"/>
      <c r="C35" s="9">
        <v>0</v>
      </c>
    </row>
    <row r="36" spans="1:3" x14ac:dyDescent="0.2">
      <c r="A36" s="73"/>
      <c r="B36" s="10"/>
      <c r="C36" s="9">
        <v>0</v>
      </c>
    </row>
    <row r="37" spans="1:3" x14ac:dyDescent="0.2">
      <c r="A37" s="73"/>
      <c r="B37" s="10"/>
      <c r="C37" s="9">
        <v>0</v>
      </c>
    </row>
    <row r="38" spans="1:3" x14ac:dyDescent="0.2">
      <c r="A38" s="73"/>
      <c r="B38" s="10"/>
      <c r="C38" s="9">
        <v>0</v>
      </c>
    </row>
    <row r="39" spans="1:3" x14ac:dyDescent="0.2">
      <c r="A39" s="73"/>
      <c r="B39" s="10"/>
      <c r="C39" s="9">
        <v>0</v>
      </c>
    </row>
    <row r="40" spans="1:3" x14ac:dyDescent="0.2">
      <c r="A40" s="73"/>
      <c r="B40" s="10"/>
      <c r="C40" s="9">
        <v>0</v>
      </c>
    </row>
    <row r="41" spans="1:3" x14ac:dyDescent="0.2">
      <c r="A41" s="73"/>
      <c r="B41" s="10"/>
      <c r="C41" s="9">
        <v>0</v>
      </c>
    </row>
    <row r="42" spans="1:3" x14ac:dyDescent="0.2">
      <c r="A42" s="73"/>
      <c r="B42" s="10"/>
      <c r="C42" s="9">
        <v>0</v>
      </c>
    </row>
    <row r="43" spans="1:3" x14ac:dyDescent="0.2">
      <c r="A43" s="73"/>
      <c r="B43" s="10"/>
      <c r="C43" s="9">
        <v>0</v>
      </c>
    </row>
    <row r="44" spans="1:3" x14ac:dyDescent="0.2">
      <c r="A44" s="73"/>
      <c r="B44" s="10"/>
      <c r="C44" s="9">
        <v>0</v>
      </c>
    </row>
    <row r="45" spans="1:3" x14ac:dyDescent="0.2">
      <c r="A45" s="73"/>
      <c r="B45" s="10"/>
      <c r="C45" s="9">
        <v>0</v>
      </c>
    </row>
    <row r="46" spans="1:3" x14ac:dyDescent="0.2">
      <c r="A46" s="73"/>
      <c r="B46" s="10"/>
      <c r="C46" s="9">
        <v>0</v>
      </c>
    </row>
    <row r="47" spans="1:3" x14ac:dyDescent="0.2">
      <c r="A47" s="73"/>
      <c r="B47" s="10"/>
      <c r="C47" s="9">
        <v>0</v>
      </c>
    </row>
    <row r="48" spans="1:3" x14ac:dyDescent="0.2">
      <c r="A48" s="73"/>
      <c r="B48" s="10"/>
      <c r="C48" s="9">
        <v>0</v>
      </c>
    </row>
    <row r="49" spans="1:4" x14ac:dyDescent="0.2">
      <c r="A49" s="73"/>
      <c r="B49" s="10"/>
      <c r="C49" s="9">
        <v>0</v>
      </c>
    </row>
    <row r="50" spans="1:4" x14ac:dyDescent="0.2">
      <c r="A50" s="73"/>
      <c r="B50" s="10"/>
      <c r="C50" s="9">
        <v>0</v>
      </c>
    </row>
    <row r="51" spans="1:4" x14ac:dyDescent="0.2">
      <c r="A51" s="73"/>
      <c r="B51" s="10"/>
      <c r="C51" s="9">
        <v>0</v>
      </c>
    </row>
    <row r="52" spans="1:4" x14ac:dyDescent="0.2">
      <c r="A52" s="73"/>
      <c r="B52" s="10"/>
      <c r="C52" s="9">
        <v>0</v>
      </c>
    </row>
    <row r="53" spans="1:4" x14ac:dyDescent="0.2">
      <c r="A53" s="73"/>
      <c r="B53" s="10"/>
      <c r="C53" s="9">
        <v>0</v>
      </c>
    </row>
    <row r="54" spans="1:4" x14ac:dyDescent="0.2">
      <c r="A54" s="73"/>
      <c r="B54" s="10"/>
      <c r="C54" s="9">
        <v>0</v>
      </c>
    </row>
    <row r="55" spans="1:4" s="13" customFormat="1" ht="13.5" thickBot="1" x14ac:dyDescent="0.25">
      <c r="A55" s="74"/>
      <c r="B55" s="11"/>
      <c r="C55" s="9">
        <v>0</v>
      </c>
      <c r="D55" s="12"/>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Macro5">
                <anchor moveWithCells="1">
                  <from>
                    <xdr:col>3</xdr:col>
                    <xdr:colOff>66675</xdr:colOff>
                    <xdr:row>7</xdr:row>
                    <xdr:rowOff>38100</xdr:rowOff>
                  </from>
                  <to>
                    <xdr:col>5</xdr:col>
                    <xdr:colOff>266700</xdr:colOff>
                    <xdr:row>13</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6"/>
  <sheetViews>
    <sheetView workbookViewId="0">
      <selection activeCell="H18" sqref="H18"/>
    </sheetView>
  </sheetViews>
  <sheetFormatPr defaultRowHeight="15" x14ac:dyDescent="0.25"/>
  <cols>
    <col min="1" max="1" width="45.7109375" customWidth="1"/>
  </cols>
  <sheetData>
    <row r="1" spans="1:5" x14ac:dyDescent="0.25">
      <c r="A1" t="s">
        <v>82</v>
      </c>
      <c r="B1">
        <v>0.61300729569318346</v>
      </c>
      <c r="C1">
        <v>2</v>
      </c>
      <c r="D1">
        <v>15</v>
      </c>
      <c r="E1">
        <f t="shared" ref="E1:E26" si="0">C1*D1</f>
        <v>30</v>
      </c>
    </row>
    <row r="2" spans="1:5" x14ac:dyDescent="0.25">
      <c r="A2" t="s">
        <v>79</v>
      </c>
      <c r="B2">
        <v>0.54348258233328772</v>
      </c>
      <c r="C2">
        <v>2</v>
      </c>
      <c r="D2">
        <v>15</v>
      </c>
      <c r="E2">
        <f t="shared" si="0"/>
        <v>30</v>
      </c>
    </row>
    <row r="3" spans="1:5" x14ac:dyDescent="0.25">
      <c r="A3" t="s">
        <v>78</v>
      </c>
      <c r="B3">
        <v>0.51376354610182007</v>
      </c>
      <c r="C3">
        <v>2</v>
      </c>
      <c r="D3">
        <v>15</v>
      </c>
      <c r="E3">
        <f t="shared" si="0"/>
        <v>30</v>
      </c>
    </row>
    <row r="4" spans="1:5" x14ac:dyDescent="0.25">
      <c r="A4" t="s">
        <v>77</v>
      </c>
      <c r="B4">
        <v>0.54366287781975875</v>
      </c>
      <c r="C4">
        <v>1</v>
      </c>
      <c r="D4">
        <v>15</v>
      </c>
      <c r="E4">
        <f t="shared" si="0"/>
        <v>15</v>
      </c>
    </row>
    <row r="5" spans="1:5" x14ac:dyDescent="0.25">
      <c r="A5" t="s">
        <v>76</v>
      </c>
      <c r="B5">
        <v>0.56329527315426631</v>
      </c>
      <c r="C5">
        <v>2</v>
      </c>
      <c r="D5">
        <v>5</v>
      </c>
      <c r="E5">
        <f t="shared" si="0"/>
        <v>10</v>
      </c>
    </row>
    <row r="6" spans="1:5" x14ac:dyDescent="0.25">
      <c r="A6" t="s">
        <v>74</v>
      </c>
      <c r="B6">
        <v>0.55687133836707758</v>
      </c>
      <c r="C6">
        <v>2</v>
      </c>
      <c r="D6">
        <v>5</v>
      </c>
      <c r="E6">
        <f t="shared" si="0"/>
        <v>10</v>
      </c>
    </row>
    <row r="7" spans="1:5" x14ac:dyDescent="0.25">
      <c r="A7" t="s">
        <v>62</v>
      </c>
      <c r="B7">
        <v>0.53705864754609922</v>
      </c>
      <c r="C7">
        <v>2</v>
      </c>
      <c r="D7">
        <v>5</v>
      </c>
      <c r="E7">
        <f t="shared" si="0"/>
        <v>10</v>
      </c>
    </row>
    <row r="8" spans="1:5" x14ac:dyDescent="0.25">
      <c r="A8" t="s">
        <v>80</v>
      </c>
      <c r="B8">
        <v>0.64915026671183973</v>
      </c>
      <c r="C8">
        <v>1.5</v>
      </c>
      <c r="D8">
        <v>5</v>
      </c>
      <c r="E8">
        <f t="shared" si="0"/>
        <v>7.5</v>
      </c>
    </row>
    <row r="9" spans="1:5" x14ac:dyDescent="0.25">
      <c r="A9" t="s">
        <v>61</v>
      </c>
      <c r="B9">
        <v>0.57668402918805617</v>
      </c>
      <c r="C9">
        <v>0.5</v>
      </c>
      <c r="D9">
        <v>15</v>
      </c>
      <c r="E9">
        <f t="shared" si="0"/>
        <v>7.5</v>
      </c>
    </row>
    <row r="10" spans="1:5" x14ac:dyDescent="0.25">
      <c r="A10" t="s">
        <v>61</v>
      </c>
      <c r="B10">
        <v>0.44129730857803662</v>
      </c>
      <c r="C10">
        <v>0.5</v>
      </c>
      <c r="D10">
        <v>15</v>
      </c>
      <c r="E10">
        <f t="shared" si="0"/>
        <v>7.5</v>
      </c>
    </row>
    <row r="11" spans="1:5" x14ac:dyDescent="0.25">
      <c r="A11" t="s">
        <v>60</v>
      </c>
      <c r="B11">
        <v>0.39212617249853221</v>
      </c>
      <c r="C11">
        <v>0.5</v>
      </c>
      <c r="D11">
        <v>15</v>
      </c>
      <c r="E11">
        <f t="shared" si="0"/>
        <v>7.5</v>
      </c>
    </row>
    <row r="12" spans="1:5" x14ac:dyDescent="0.25">
      <c r="A12" t="s">
        <v>69</v>
      </c>
      <c r="B12">
        <v>0.3290253939258253</v>
      </c>
      <c r="C12">
        <v>0.5</v>
      </c>
      <c r="D12">
        <v>15</v>
      </c>
      <c r="E12">
        <f t="shared" si="0"/>
        <v>7.5</v>
      </c>
    </row>
    <row r="13" spans="1:5" x14ac:dyDescent="0.25">
      <c r="A13" t="s">
        <v>70</v>
      </c>
      <c r="B13">
        <v>0.28609789714703859</v>
      </c>
      <c r="C13">
        <v>0.5</v>
      </c>
      <c r="D13">
        <v>15</v>
      </c>
      <c r="E13">
        <f t="shared" si="0"/>
        <v>7.5</v>
      </c>
    </row>
    <row r="14" spans="1:5" x14ac:dyDescent="0.25">
      <c r="A14" t="s">
        <v>73</v>
      </c>
      <c r="B14">
        <v>0.2499549261283823</v>
      </c>
      <c r="C14">
        <v>0.5</v>
      </c>
      <c r="D14">
        <v>15</v>
      </c>
      <c r="E14">
        <f t="shared" si="0"/>
        <v>7.5</v>
      </c>
    </row>
    <row r="15" spans="1:5" x14ac:dyDescent="0.25">
      <c r="A15" t="s">
        <v>75</v>
      </c>
      <c r="B15">
        <v>0.43551860708858464</v>
      </c>
      <c r="C15">
        <v>6</v>
      </c>
      <c r="D15">
        <v>1</v>
      </c>
      <c r="E15">
        <f t="shared" si="0"/>
        <v>6</v>
      </c>
    </row>
    <row r="16" spans="1:5" x14ac:dyDescent="0.25">
      <c r="A16" t="s">
        <v>83</v>
      </c>
      <c r="B16">
        <v>0.50091567652744295</v>
      </c>
      <c r="C16">
        <v>1</v>
      </c>
      <c r="D16">
        <v>5</v>
      </c>
      <c r="E16">
        <f t="shared" si="0"/>
        <v>5</v>
      </c>
    </row>
    <row r="17" spans="1:5" x14ac:dyDescent="0.25">
      <c r="A17" t="s">
        <v>71</v>
      </c>
      <c r="B17">
        <v>0.41175856783303982</v>
      </c>
      <c r="C17">
        <v>1</v>
      </c>
      <c r="D17">
        <v>5</v>
      </c>
      <c r="E17">
        <f t="shared" si="0"/>
        <v>5</v>
      </c>
    </row>
    <row r="18" spans="1:5" x14ac:dyDescent="0.25">
      <c r="A18" t="s">
        <v>72</v>
      </c>
      <c r="B18">
        <v>0.40845645269621006</v>
      </c>
      <c r="C18">
        <v>1</v>
      </c>
      <c r="D18">
        <v>5</v>
      </c>
      <c r="E18">
        <f t="shared" si="0"/>
        <v>5</v>
      </c>
    </row>
    <row r="19" spans="1:5" x14ac:dyDescent="0.25">
      <c r="A19" t="s">
        <v>66</v>
      </c>
      <c r="B19">
        <v>0.28875477898613178</v>
      </c>
      <c r="C19">
        <v>1</v>
      </c>
      <c r="D19">
        <v>5</v>
      </c>
      <c r="E19">
        <f t="shared" si="0"/>
        <v>5</v>
      </c>
    </row>
    <row r="20" spans="1:5" x14ac:dyDescent="0.25">
      <c r="A20" t="s">
        <v>65</v>
      </c>
      <c r="B20">
        <v>0.26316338667570127</v>
      </c>
      <c r="C20">
        <v>1</v>
      </c>
      <c r="D20">
        <v>5</v>
      </c>
      <c r="E20">
        <f t="shared" si="0"/>
        <v>5</v>
      </c>
    </row>
    <row r="21" spans="1:5" x14ac:dyDescent="0.25">
      <c r="A21" t="s">
        <v>67</v>
      </c>
      <c r="B21">
        <v>0.40185222242255064</v>
      </c>
      <c r="C21">
        <v>1</v>
      </c>
      <c r="D21">
        <v>3</v>
      </c>
      <c r="E21">
        <f t="shared" si="0"/>
        <v>3</v>
      </c>
    </row>
    <row r="22" spans="1:5" x14ac:dyDescent="0.25">
      <c r="A22" t="s">
        <v>68</v>
      </c>
      <c r="B22">
        <v>0.34901838023327453</v>
      </c>
      <c r="C22">
        <v>1</v>
      </c>
      <c r="D22">
        <v>3</v>
      </c>
      <c r="E22">
        <f t="shared" si="0"/>
        <v>3</v>
      </c>
    </row>
    <row r="23" spans="1:5" x14ac:dyDescent="0.25">
      <c r="A23" t="s">
        <v>59</v>
      </c>
      <c r="B23">
        <v>0.40745062842553181</v>
      </c>
      <c r="C23">
        <v>2</v>
      </c>
      <c r="D23">
        <v>1</v>
      </c>
      <c r="E23">
        <f t="shared" si="0"/>
        <v>2</v>
      </c>
    </row>
    <row r="24" spans="1:5" x14ac:dyDescent="0.25">
      <c r="A24" t="s">
        <v>81</v>
      </c>
      <c r="B24">
        <v>0.50238643860938692</v>
      </c>
      <c r="C24">
        <v>0.5</v>
      </c>
      <c r="D24">
        <v>3</v>
      </c>
      <c r="E24">
        <f t="shared" si="0"/>
        <v>1.5</v>
      </c>
    </row>
    <row r="25" spans="1:5" x14ac:dyDescent="0.25">
      <c r="A25" t="s">
        <v>64</v>
      </c>
      <c r="B25">
        <v>0.41093303904883238</v>
      </c>
      <c r="C25">
        <v>0.5</v>
      </c>
      <c r="D25">
        <v>3</v>
      </c>
      <c r="E25">
        <f t="shared" si="0"/>
        <v>1.5</v>
      </c>
    </row>
    <row r="26" spans="1:5" x14ac:dyDescent="0.25">
      <c r="A26" t="s">
        <v>63</v>
      </c>
      <c r="B26">
        <v>0.26316338667570122</v>
      </c>
      <c r="C26">
        <v>0.5</v>
      </c>
      <c r="D26">
        <v>3</v>
      </c>
      <c r="E26">
        <f t="shared" si="0"/>
        <v>1.5</v>
      </c>
    </row>
  </sheetData>
  <sortState ref="A1:E26">
    <sortCondition descending="1" ref="E1:E26"/>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H27"/>
  <sheetViews>
    <sheetView workbookViewId="0">
      <selection activeCell="I24" sqref="I24"/>
    </sheetView>
  </sheetViews>
  <sheetFormatPr defaultRowHeight="15" x14ac:dyDescent="0.25"/>
  <cols>
    <col min="1" max="1" width="46.42578125" customWidth="1"/>
    <col min="2" max="2" width="12.5703125" hidden="1" customWidth="1"/>
    <col min="3" max="3" width="28.7109375" customWidth="1"/>
    <col min="4" max="4" width="12.28515625" customWidth="1"/>
    <col min="5" max="5" width="11" customWidth="1"/>
    <col min="8" max="8" width="30.7109375" hidden="1" customWidth="1"/>
  </cols>
  <sheetData>
    <row r="1" spans="1:8" x14ac:dyDescent="0.25">
      <c r="A1" s="102" t="s">
        <v>0</v>
      </c>
      <c r="B1" s="103" t="s">
        <v>1</v>
      </c>
      <c r="C1" s="103" t="s">
        <v>102</v>
      </c>
      <c r="D1" s="103" t="s">
        <v>97</v>
      </c>
      <c r="E1" s="104" t="s">
        <v>98</v>
      </c>
      <c r="H1" t="s">
        <v>99</v>
      </c>
    </row>
    <row r="2" spans="1:8" x14ac:dyDescent="0.25">
      <c r="A2" s="151" t="str">
        <f>table!B4</f>
        <v>Stream Cond</v>
      </c>
      <c r="B2" s="105">
        <v>0.64915026671183973</v>
      </c>
      <c r="C2" s="105" t="s">
        <v>99</v>
      </c>
      <c r="D2" s="105"/>
      <c r="E2" s="106"/>
      <c r="H2" t="s">
        <v>101</v>
      </c>
    </row>
    <row r="3" spans="1:8" x14ac:dyDescent="0.25">
      <c r="A3" s="151" t="str">
        <f>table!B5</f>
        <v>Restor Fish</v>
      </c>
      <c r="B3" s="79">
        <v>0.61300729569318346</v>
      </c>
      <c r="C3" s="79" t="s">
        <v>101</v>
      </c>
      <c r="D3" s="79"/>
      <c r="E3" s="107"/>
      <c r="H3" t="s">
        <v>100</v>
      </c>
    </row>
    <row r="4" spans="1:8" x14ac:dyDescent="0.25">
      <c r="A4" s="151" t="str">
        <f>table!B6</f>
        <v>Fish Index</v>
      </c>
      <c r="B4" s="79">
        <v>0.57668402918805617</v>
      </c>
      <c r="C4" s="79" t="s">
        <v>100</v>
      </c>
      <c r="D4" s="79"/>
      <c r="E4" s="107"/>
    </row>
    <row r="5" spans="1:8" x14ac:dyDescent="0.25">
      <c r="A5" s="151" t="str">
        <f>table!B7</f>
        <v>Fish Comp</v>
      </c>
      <c r="B5" s="79">
        <v>0.56329527315426631</v>
      </c>
      <c r="C5" s="79"/>
      <c r="D5" s="79"/>
      <c r="E5" s="107"/>
    </row>
    <row r="6" spans="1:8" x14ac:dyDescent="0.25">
      <c r="A6" s="151" t="str">
        <f>table!B8</f>
        <v>Stream gage</v>
      </c>
      <c r="B6" s="79">
        <v>0.55687133836707758</v>
      </c>
      <c r="C6" s="79"/>
      <c r="D6" s="79"/>
      <c r="E6" s="107"/>
    </row>
    <row r="7" spans="1:8" x14ac:dyDescent="0.25">
      <c r="A7" s="151" t="str">
        <f>table!B9</f>
        <v>Culverts</v>
      </c>
      <c r="B7" s="79">
        <v>0.54366287781975875</v>
      </c>
      <c r="C7" s="79"/>
      <c r="D7" s="79"/>
      <c r="E7" s="107"/>
    </row>
    <row r="8" spans="1:8" x14ac:dyDescent="0.25">
      <c r="A8" s="151" t="str">
        <f>table!B10</f>
        <v>PIT</v>
      </c>
      <c r="B8" s="79">
        <v>0.54348258233328772</v>
      </c>
      <c r="C8" s="79"/>
      <c r="D8" s="79"/>
      <c r="E8" s="107"/>
    </row>
    <row r="9" spans="1:8" x14ac:dyDescent="0.25">
      <c r="A9" s="151" t="str">
        <f>table!B11</f>
        <v>Invasive</v>
      </c>
      <c r="B9" s="79">
        <v>0.53705864754609922</v>
      </c>
      <c r="C9" s="79"/>
      <c r="D9" s="79"/>
      <c r="E9" s="107"/>
    </row>
    <row r="10" spans="1:8" x14ac:dyDescent="0.25">
      <c r="A10" s="151" t="str">
        <f>table!B12</f>
        <v>IWMM</v>
      </c>
      <c r="B10" s="79">
        <v>0.51376354610182007</v>
      </c>
      <c r="C10" s="79"/>
      <c r="D10" s="79"/>
      <c r="E10" s="107"/>
    </row>
    <row r="11" spans="1:8" x14ac:dyDescent="0.25">
      <c r="A11" s="151" t="str">
        <f>table!B13</f>
        <v>Stream Habit</v>
      </c>
      <c r="B11" s="79">
        <v>0.50238643860938692</v>
      </c>
      <c r="C11" s="79"/>
      <c r="D11" s="79"/>
      <c r="E11" s="107"/>
    </row>
    <row r="12" spans="1:8" x14ac:dyDescent="0.25">
      <c r="A12" s="151" t="str">
        <f>table!B14</f>
        <v>Bat</v>
      </c>
      <c r="B12" s="79">
        <v>0.50091567652744295</v>
      </c>
      <c r="C12" s="79"/>
      <c r="D12" s="79"/>
      <c r="E12" s="107"/>
    </row>
    <row r="13" spans="1:8" x14ac:dyDescent="0.25">
      <c r="A13" s="151" t="str">
        <f>table!B15</f>
        <v>Stream Topo</v>
      </c>
      <c r="B13" s="79">
        <v>0.44129730857803662</v>
      </c>
      <c r="C13" s="79"/>
      <c r="D13" s="79"/>
      <c r="E13" s="107"/>
    </row>
    <row r="14" spans="1:8" x14ac:dyDescent="0.25">
      <c r="A14" s="151" t="str">
        <f>table!B16</f>
        <v>Map Lowland</v>
      </c>
      <c r="B14" s="79">
        <v>0.43551860708858464</v>
      </c>
      <c r="C14" s="79"/>
      <c r="D14" s="79"/>
      <c r="E14" s="107"/>
    </row>
    <row r="15" spans="1:8" x14ac:dyDescent="0.25">
      <c r="A15" s="151" t="str">
        <f>table!B17</f>
        <v>Macroinvert</v>
      </c>
      <c r="B15" s="79">
        <v>0.41175856783303982</v>
      </c>
      <c r="C15" s="79"/>
      <c r="D15" s="79"/>
      <c r="E15" s="107"/>
    </row>
    <row r="16" spans="1:8" x14ac:dyDescent="0.25">
      <c r="A16" s="151" t="str">
        <f>table!B18</f>
        <v>Point Count</v>
      </c>
      <c r="B16" s="79">
        <v>0.41093303904883238</v>
      </c>
      <c r="C16" s="79"/>
      <c r="D16" s="79"/>
      <c r="E16" s="107"/>
    </row>
    <row r="17" spans="1:5" x14ac:dyDescent="0.25">
      <c r="A17" s="151" t="str">
        <f>table!B19</f>
        <v>Turtle</v>
      </c>
      <c r="B17" s="79">
        <v>0.40845645269621006</v>
      </c>
      <c r="C17" s="79"/>
      <c r="D17" s="79"/>
      <c r="E17" s="107"/>
    </row>
    <row r="18" spans="1:5" x14ac:dyDescent="0.25">
      <c r="A18" s="151" t="str">
        <f>table!B20</f>
        <v>Photo Stream</v>
      </c>
      <c r="B18" s="79">
        <v>0.40745062842553181</v>
      </c>
      <c r="C18" s="79"/>
      <c r="D18" s="79"/>
      <c r="E18" s="107"/>
    </row>
    <row r="19" spans="1:5" x14ac:dyDescent="0.25">
      <c r="A19" s="151" t="str">
        <f>table!B21</f>
        <v>Blduck Nest</v>
      </c>
      <c r="B19" s="79">
        <v>0.40185222242255064</v>
      </c>
      <c r="C19" s="79"/>
      <c r="D19" s="79"/>
      <c r="E19" s="107"/>
    </row>
    <row r="20" spans="1:5" x14ac:dyDescent="0.25">
      <c r="A20" s="151">
        <f>table!B22</f>
        <v>0</v>
      </c>
      <c r="B20" s="79">
        <v>0.39212617249853221</v>
      </c>
      <c r="C20" s="79"/>
      <c r="D20" s="79"/>
      <c r="E20" s="107"/>
    </row>
    <row r="21" spans="1:5" x14ac:dyDescent="0.25">
      <c r="A21" s="151">
        <f>table!B23</f>
        <v>0</v>
      </c>
      <c r="B21" s="79">
        <v>0.34901838023327453</v>
      </c>
      <c r="C21" s="79"/>
      <c r="D21" s="79"/>
      <c r="E21" s="107"/>
    </row>
    <row r="22" spans="1:5" x14ac:dyDescent="0.25">
      <c r="A22" s="151">
        <f>table!B24</f>
        <v>0</v>
      </c>
      <c r="B22" s="79">
        <v>0.3290253939258253</v>
      </c>
      <c r="C22" s="79"/>
      <c r="D22" s="79"/>
      <c r="E22" s="107"/>
    </row>
    <row r="23" spans="1:5" x14ac:dyDescent="0.25">
      <c r="A23" s="151">
        <f>table!B25</f>
        <v>0</v>
      </c>
      <c r="B23" s="79">
        <v>0.28875477898613178</v>
      </c>
      <c r="C23" s="79"/>
      <c r="D23" s="79"/>
      <c r="E23" s="107"/>
    </row>
    <row r="24" spans="1:5" x14ac:dyDescent="0.25">
      <c r="A24" s="151">
        <f>table!B26</f>
        <v>0</v>
      </c>
      <c r="B24" s="79">
        <v>0.28609789714703859</v>
      </c>
      <c r="C24" s="79"/>
      <c r="D24" s="79"/>
      <c r="E24" s="107"/>
    </row>
    <row r="25" spans="1:5" x14ac:dyDescent="0.25">
      <c r="A25" s="151">
        <f>table!B27</f>
        <v>0</v>
      </c>
      <c r="B25" s="79">
        <v>0.26316338667570127</v>
      </c>
      <c r="C25" s="79"/>
      <c r="D25" s="79"/>
      <c r="E25" s="107"/>
    </row>
    <row r="26" spans="1:5" x14ac:dyDescent="0.25">
      <c r="A26" s="151">
        <f>table!B28</f>
        <v>0</v>
      </c>
      <c r="B26" s="79">
        <v>0.26316338667570122</v>
      </c>
      <c r="C26" s="79"/>
      <c r="D26" s="79"/>
      <c r="E26" s="107"/>
    </row>
    <row r="27" spans="1:5" x14ac:dyDescent="0.25">
      <c r="A27" s="151">
        <f>table!B29</f>
        <v>0</v>
      </c>
      <c r="B27" s="81">
        <v>0.2499549261283823</v>
      </c>
      <c r="C27" s="81"/>
      <c r="D27" s="81"/>
      <c r="E27" s="108"/>
    </row>
  </sheetData>
  <dataValidations count="1">
    <dataValidation type="list" allowBlank="1" showInputMessage="1" showErrorMessage="1" sqref="C2:C27">
      <formula1>$H$1:$H$3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22"/>
  <sheetViews>
    <sheetView workbookViewId="0">
      <selection activeCell="C34" sqref="C34"/>
    </sheetView>
  </sheetViews>
  <sheetFormatPr defaultColWidth="9.140625" defaultRowHeight="12.75" x14ac:dyDescent="0.2"/>
  <cols>
    <col min="1" max="1" width="41.42578125" style="2" customWidth="1"/>
    <col min="2" max="2" width="8.28515625" style="2" customWidth="1"/>
    <col min="3" max="3" width="139.5703125" style="2" customWidth="1"/>
    <col min="4" max="16384" width="9.140625" style="2"/>
  </cols>
  <sheetData>
    <row r="1" spans="1:3" s="109" customFormat="1" ht="23.25" x14ac:dyDescent="0.35">
      <c r="A1" s="109" t="s">
        <v>103</v>
      </c>
    </row>
    <row r="2" spans="1:3" x14ac:dyDescent="0.2">
      <c r="A2" s="6" t="s">
        <v>104</v>
      </c>
    </row>
    <row r="3" spans="1:3" x14ac:dyDescent="0.2">
      <c r="A3" s="6" t="s">
        <v>105</v>
      </c>
    </row>
    <row r="4" spans="1:3" x14ac:dyDescent="0.2">
      <c r="A4" s="6"/>
    </row>
    <row r="5" spans="1:3" x14ac:dyDescent="0.2">
      <c r="A5" s="110" t="s">
        <v>106</v>
      </c>
      <c r="B5" s="111" t="s">
        <v>107</v>
      </c>
      <c r="C5" s="110" t="s">
        <v>108</v>
      </c>
    </row>
    <row r="6" spans="1:3" x14ac:dyDescent="0.2">
      <c r="A6" s="2" t="s">
        <v>109</v>
      </c>
      <c r="B6" s="14">
        <v>1</v>
      </c>
      <c r="C6" s="6" t="s">
        <v>110</v>
      </c>
    </row>
    <row r="7" spans="1:3" x14ac:dyDescent="0.2">
      <c r="A7" s="2" t="s">
        <v>111</v>
      </c>
      <c r="B7" s="14">
        <v>3</v>
      </c>
      <c r="C7" s="6" t="s">
        <v>110</v>
      </c>
    </row>
    <row r="8" spans="1:3" x14ac:dyDescent="0.2">
      <c r="A8" s="2" t="s">
        <v>112</v>
      </c>
      <c r="B8" s="14">
        <v>11</v>
      </c>
      <c r="C8" s="6" t="s">
        <v>110</v>
      </c>
    </row>
    <row r="9" spans="1:3" x14ac:dyDescent="0.2">
      <c r="A9" s="2" t="s">
        <v>113</v>
      </c>
      <c r="B9" s="14">
        <v>15</v>
      </c>
      <c r="C9" s="6" t="s">
        <v>114</v>
      </c>
    </row>
    <row r="10" spans="1:3" x14ac:dyDescent="0.2">
      <c r="A10" s="112" t="s">
        <v>115</v>
      </c>
      <c r="B10" s="14">
        <v>17</v>
      </c>
      <c r="C10" s="6" t="s">
        <v>116</v>
      </c>
    </row>
    <row r="11" spans="1:3" x14ac:dyDescent="0.2">
      <c r="A11" s="113" t="s">
        <v>117</v>
      </c>
      <c r="B11" s="14">
        <v>18</v>
      </c>
      <c r="C11" s="6" t="s">
        <v>118</v>
      </c>
    </row>
    <row r="12" spans="1:3" x14ac:dyDescent="0.2">
      <c r="A12" s="113" t="s">
        <v>119</v>
      </c>
      <c r="B12" s="14">
        <v>19</v>
      </c>
      <c r="C12" s="6" t="s">
        <v>120</v>
      </c>
    </row>
    <row r="13" spans="1:3" x14ac:dyDescent="0.2">
      <c r="A13" s="113" t="s">
        <v>121</v>
      </c>
      <c r="B13" s="14">
        <v>20</v>
      </c>
      <c r="C13" s="6" t="s">
        <v>120</v>
      </c>
    </row>
    <row r="14" spans="1:3" x14ac:dyDescent="0.2">
      <c r="A14" s="113" t="s">
        <v>122</v>
      </c>
      <c r="B14" s="14">
        <v>22</v>
      </c>
      <c r="C14" s="6" t="s">
        <v>123</v>
      </c>
    </row>
    <row r="15" spans="1:3" x14ac:dyDescent="0.2">
      <c r="A15" s="113" t="s">
        <v>124</v>
      </c>
      <c r="B15" s="14">
        <v>23</v>
      </c>
      <c r="C15" s="6" t="s">
        <v>123</v>
      </c>
    </row>
    <row r="16" spans="1:3" x14ac:dyDescent="0.2">
      <c r="A16" s="113" t="s">
        <v>125</v>
      </c>
      <c r="B16" s="14">
        <v>24</v>
      </c>
      <c r="C16" s="6" t="s">
        <v>123</v>
      </c>
    </row>
    <row r="17" spans="1:3" x14ac:dyDescent="0.2">
      <c r="A17" s="112"/>
      <c r="B17" s="14"/>
    </row>
    <row r="18" spans="1:3" x14ac:dyDescent="0.2">
      <c r="A18" s="110" t="s">
        <v>126</v>
      </c>
      <c r="B18" s="111" t="s">
        <v>107</v>
      </c>
      <c r="C18" s="110" t="s">
        <v>127</v>
      </c>
    </row>
    <row r="19" spans="1:3" x14ac:dyDescent="0.2">
      <c r="A19" s="2" t="s">
        <v>128</v>
      </c>
      <c r="B19" s="14">
        <v>7</v>
      </c>
      <c r="C19" s="6" t="s">
        <v>129</v>
      </c>
    </row>
    <row r="20" spans="1:3" x14ac:dyDescent="0.2">
      <c r="A20" s="2" t="s">
        <v>130</v>
      </c>
      <c r="B20" s="14">
        <v>8</v>
      </c>
      <c r="C20" s="6" t="s">
        <v>131</v>
      </c>
    </row>
    <row r="21" spans="1:3" x14ac:dyDescent="0.2">
      <c r="A21" s="2" t="s">
        <v>132</v>
      </c>
      <c r="B21" s="14">
        <v>21</v>
      </c>
      <c r="C21" s="6" t="s">
        <v>133</v>
      </c>
    </row>
    <row r="22" spans="1:3" x14ac:dyDescent="0.2">
      <c r="B22"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Charts</vt:lpstr>
      </vt:variant>
      <vt:variant>
        <vt:i4>1</vt:i4>
      </vt:variant>
    </vt:vector>
  </HeadingPairs>
  <TitlesOfParts>
    <vt:vector size="10" baseType="lpstr">
      <vt:lpstr>annual time budget</vt:lpstr>
      <vt:lpstr>survey priority</vt:lpstr>
      <vt:lpstr>survey return</vt:lpstr>
      <vt:lpstr>Survey Time</vt:lpstr>
      <vt:lpstr>table</vt:lpstr>
      <vt:lpstr>portfolio builder</vt:lpstr>
      <vt:lpstr>Sheet2</vt:lpstr>
      <vt:lpstr>selection status</vt:lpstr>
      <vt:lpstr>Modifications</vt:lpstr>
      <vt:lpstr>Efficient frontier chart  </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Loges, Brian</dc:creator>
  <cp:lastModifiedBy>Jennifer Herner-Thogmartin</cp:lastModifiedBy>
  <cp:lastPrinted>2014-06-23T15:23:19Z</cp:lastPrinted>
  <dcterms:created xsi:type="dcterms:W3CDTF">2014-04-22T18:44:49Z</dcterms:created>
  <dcterms:modified xsi:type="dcterms:W3CDTF">2016-04-20T14:09:07Z</dcterms:modified>
</cp:coreProperties>
</file>