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nifer_herner-thogmartin@fws.gov\Documents\USFW work\IMP\Pauline\Morris_SaraVdoingIMP\"/>
    </mc:Choice>
  </mc:AlternateContent>
  <bookViews>
    <workbookView xWindow="0" yWindow="0" windowWidth="19200" windowHeight="11580" firstSheet="1" activeTab="4"/>
  </bookViews>
  <sheets>
    <sheet name="annual time budget" sheetId="14" r:id="rId1"/>
    <sheet name="survey priority" sheetId="16" r:id="rId2"/>
    <sheet name="survey return" sheetId="19" state="hidden" r:id="rId3"/>
    <sheet name="Survey Time" sheetId="15" r:id="rId4"/>
    <sheet name="table" sheetId="1" r:id="rId5"/>
    <sheet name="portfolio builder" sheetId="8" r:id="rId6"/>
    <sheet name="Efficient frontier chart " sheetId="13" r:id="rId7"/>
    <sheet name="Sheet2" sheetId="18" state="hidden" r:id="rId8"/>
    <sheet name="selection status" sheetId="20" r:id="rId9"/>
    <sheet name="Sheet1" sheetId="21" r:id="rId10"/>
  </sheets>
  <definedNames>
    <definedName name="solver_adj" localSheetId="5" hidden="1">'portfolio builder'!$C$6:$C$55</definedName>
    <definedName name="solver_cvg" localSheetId="5" hidden="1">0.0001</definedName>
    <definedName name="solver_drv" localSheetId="5" hidden="1">2</definedName>
    <definedName name="solver_eng" localSheetId="5" hidden="1">2</definedName>
    <definedName name="solver_eng" localSheetId="4" hidden="1">1</definedName>
    <definedName name="solver_est" localSheetId="5" hidden="1">1</definedName>
    <definedName name="solver_itr" localSheetId="5" hidden="1">2147483647</definedName>
    <definedName name="solver_lhs1" localSheetId="5" hidden="1">'portfolio builder'!$C$16</definedName>
    <definedName name="solver_lhs10" localSheetId="5" hidden="1">'portfolio builder'!$D$2</definedName>
    <definedName name="solver_lhs11" localSheetId="5" hidden="1">'portfolio builder'!$D$2</definedName>
    <definedName name="solver_lhs12" localSheetId="5" hidden="1">'portfolio builder'!$D$2</definedName>
    <definedName name="solver_lhs2" localSheetId="5" hidden="1">'portfolio builder'!$C$19</definedName>
    <definedName name="solver_lhs3" localSheetId="5" hidden="1">'portfolio builder'!$C$31</definedName>
    <definedName name="solver_lhs4" localSheetId="5" hidden="1">'portfolio builder'!$C$6</definedName>
    <definedName name="solver_lhs5" localSheetId="5" hidden="1">'portfolio builder'!$C$6:$C$55</definedName>
    <definedName name="solver_lhs6" localSheetId="5" hidden="1">'portfolio builder'!$C$8:$C$10</definedName>
    <definedName name="solver_lhs7" localSheetId="5" hidden="1">'portfolio builder'!$D$2</definedName>
    <definedName name="solver_lhs8" localSheetId="5" hidden="1">'portfolio builder'!$D$2</definedName>
    <definedName name="solver_lhs9" localSheetId="5" hidden="1">'portfolio builder'!$D$2</definedName>
    <definedName name="solver_mip" localSheetId="5" hidden="1">2147483647</definedName>
    <definedName name="solver_mni" localSheetId="5" hidden="1">30</definedName>
    <definedName name="solver_mrt" localSheetId="5" hidden="1">0.075</definedName>
    <definedName name="solver_msl" localSheetId="5" hidden="1">2</definedName>
    <definedName name="solver_neg" localSheetId="5" hidden="1">1</definedName>
    <definedName name="solver_neg" localSheetId="4" hidden="1">1</definedName>
    <definedName name="solver_nod" localSheetId="5" hidden="1">2147483647</definedName>
    <definedName name="solver_num" localSheetId="5" hidden="1">7</definedName>
    <definedName name="solver_num" localSheetId="4" hidden="1">0</definedName>
    <definedName name="solver_nwt" localSheetId="5" hidden="1">1</definedName>
    <definedName name="solver_opt" localSheetId="5" hidden="1">'portfolio builder'!$B$2</definedName>
    <definedName name="solver_opt" localSheetId="4" hidden="1">table!$I$4</definedName>
    <definedName name="solver_pre" localSheetId="5" hidden="1">0.000001</definedName>
    <definedName name="solver_rbv" localSheetId="5" hidden="1">2</definedName>
    <definedName name="solver_rel1" localSheetId="5" hidden="1">2</definedName>
    <definedName name="solver_rel10" localSheetId="5" hidden="1">1</definedName>
    <definedName name="solver_rel11" localSheetId="5" hidden="1">1</definedName>
    <definedName name="solver_rel12" localSheetId="5" hidden="1">1</definedName>
    <definedName name="solver_rel2" localSheetId="5" hidden="1">2</definedName>
    <definedName name="solver_rel3" localSheetId="5" hidden="1">2</definedName>
    <definedName name="solver_rel4" localSheetId="5" hidden="1">2</definedName>
    <definedName name="solver_rel5" localSheetId="5" hidden="1">5</definedName>
    <definedName name="solver_rel6" localSheetId="5" hidden="1">2</definedName>
    <definedName name="solver_rel7" localSheetId="5" hidden="1">1</definedName>
    <definedName name="solver_rel8" localSheetId="5" hidden="1">1</definedName>
    <definedName name="solver_rel9" localSheetId="5" hidden="1">1</definedName>
    <definedName name="solver_rhs1" localSheetId="5" hidden="1">1</definedName>
    <definedName name="solver_rhs10" localSheetId="5" hidden="1">'portfolio builder'!$D$1</definedName>
    <definedName name="solver_rhs11" localSheetId="5" hidden="1">'portfolio builder'!$D$1</definedName>
    <definedName name="solver_rhs12" localSheetId="5" hidden="1">'portfolio builder'!$D$1</definedName>
    <definedName name="solver_rhs2" localSheetId="5" hidden="1">1</definedName>
    <definedName name="solver_rhs3" localSheetId="5" hidden="1">1</definedName>
    <definedName name="solver_rhs4" localSheetId="5" hidden="1">1</definedName>
    <definedName name="solver_rhs5" localSheetId="5" hidden="1">binary</definedName>
    <definedName name="solver_rhs6" localSheetId="5" hidden="1">1</definedName>
    <definedName name="solver_rhs7" localSheetId="5" hidden="1">'portfolio builder'!$D$1</definedName>
    <definedName name="solver_rhs8" localSheetId="5" hidden="1">'portfolio builder'!$D$1</definedName>
    <definedName name="solver_rhs9" localSheetId="5" hidden="1">'portfolio builder'!$D$1</definedName>
    <definedName name="solver_rlx" localSheetId="5" hidden="1">2</definedName>
    <definedName name="solver_rsd" localSheetId="5" hidden="1">0</definedName>
    <definedName name="solver_scl" localSheetId="5" hidden="1">2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0.01</definedName>
    <definedName name="solver_typ" localSheetId="5" hidden="1">1</definedName>
    <definedName name="solver_typ" localSheetId="4" hidden="1">1</definedName>
    <definedName name="solver_val" localSheetId="5" hidden="1">0</definedName>
    <definedName name="solver_val" localSheetId="4" hidden="1">0</definedName>
    <definedName name="solver_ver" localSheetId="5" hidden="1">3</definedName>
    <definedName name="solver_ver" localSheetId="4" hidden="1">3</definedName>
  </definedNames>
  <calcPr calcId="152511"/>
</workbook>
</file>

<file path=xl/calcChain.xml><?xml version="1.0" encoding="utf-8"?>
<calcChain xmlns="http://schemas.openxmlformats.org/spreadsheetml/2006/main">
  <c r="G36" i="15" l="1"/>
  <c r="G35" i="15"/>
  <c r="G34" i="15"/>
  <c r="H31" i="15"/>
  <c r="I31" i="15"/>
  <c r="J31" i="15"/>
  <c r="K31" i="15"/>
  <c r="G31" i="15"/>
  <c r="I32" i="14"/>
  <c r="I31" i="14"/>
  <c r="I30" i="14"/>
  <c r="I57" i="1"/>
  <c r="J57" i="1"/>
  <c r="K57" i="1"/>
  <c r="L57" i="1"/>
  <c r="C30" i="1"/>
  <c r="B30" i="1"/>
  <c r="D30" i="1"/>
  <c r="F30" i="1" s="1"/>
  <c r="E30" i="1"/>
  <c r="C31" i="1"/>
  <c r="B31" i="1"/>
  <c r="E31" i="1" s="1"/>
  <c r="D31" i="1"/>
  <c r="F31" i="1" s="1"/>
  <c r="C32" i="1"/>
  <c r="B32" i="1"/>
  <c r="C4" i="1"/>
  <c r="B4" i="1"/>
  <c r="D4" i="1"/>
  <c r="E4" i="1"/>
  <c r="F4" i="1"/>
  <c r="C5" i="1"/>
  <c r="B5" i="1"/>
  <c r="D5" i="1"/>
  <c r="E5" i="1"/>
  <c r="C6" i="1"/>
  <c r="B6" i="1"/>
  <c r="E6" i="1" s="1"/>
  <c r="C7" i="1"/>
  <c r="B7" i="1"/>
  <c r="C8" i="1"/>
  <c r="B8" i="1"/>
  <c r="D8" i="1"/>
  <c r="E8" i="1"/>
  <c r="F8" i="1" s="1"/>
  <c r="C9" i="1"/>
  <c r="B9" i="1"/>
  <c r="D9" i="1"/>
  <c r="F9" i="1" s="1"/>
  <c r="E9" i="1"/>
  <c r="C10" i="1"/>
  <c r="B10" i="1"/>
  <c r="E10" i="1" s="1"/>
  <c r="D10" i="1"/>
  <c r="F10" i="1" s="1"/>
  <c r="C11" i="1"/>
  <c r="B11" i="1"/>
  <c r="C12" i="1"/>
  <c r="B12" i="1"/>
  <c r="D12" i="1"/>
  <c r="E12" i="1"/>
  <c r="F12" i="1"/>
  <c r="C13" i="1"/>
  <c r="B13" i="1"/>
  <c r="D13" i="1"/>
  <c r="E13" i="1"/>
  <c r="C14" i="1"/>
  <c r="B14" i="1"/>
  <c r="E14" i="1" s="1"/>
  <c r="C15" i="1"/>
  <c r="B15" i="1"/>
  <c r="C16" i="1"/>
  <c r="B16" i="1"/>
  <c r="D16" i="1"/>
  <c r="E16" i="1"/>
  <c r="F16" i="1" s="1"/>
  <c r="C17" i="1"/>
  <c r="B17" i="1"/>
  <c r="D17" i="1"/>
  <c r="F17" i="1" s="1"/>
  <c r="E17" i="1"/>
  <c r="C18" i="1"/>
  <c r="B18" i="1"/>
  <c r="E18" i="1" s="1"/>
  <c r="D18" i="1"/>
  <c r="F18" i="1" s="1"/>
  <c r="C19" i="1"/>
  <c r="B19" i="1"/>
  <c r="C20" i="1"/>
  <c r="B20" i="1"/>
  <c r="D20" i="1"/>
  <c r="E20" i="1"/>
  <c r="F20" i="1"/>
  <c r="C21" i="1"/>
  <c r="B21" i="1"/>
  <c r="D21" i="1"/>
  <c r="E21" i="1"/>
  <c r="C22" i="1"/>
  <c r="B22" i="1"/>
  <c r="E22" i="1" s="1"/>
  <c r="C23" i="1"/>
  <c r="B23" i="1"/>
  <c r="C24" i="1"/>
  <c r="B24" i="1"/>
  <c r="D24" i="1"/>
  <c r="E24" i="1"/>
  <c r="F24" i="1" s="1"/>
  <c r="C25" i="1"/>
  <c r="B25" i="1"/>
  <c r="D25" i="1"/>
  <c r="F25" i="1" s="1"/>
  <c r="E25" i="1"/>
  <c r="C26" i="1"/>
  <c r="B26" i="1"/>
  <c r="E26" i="1" s="1"/>
  <c r="D26" i="1"/>
  <c r="F26" i="1" s="1"/>
  <c r="C27" i="1"/>
  <c r="B27" i="1"/>
  <c r="C28" i="1"/>
  <c r="B28" i="1"/>
  <c r="D28" i="1"/>
  <c r="E28" i="1"/>
  <c r="F28" i="1"/>
  <c r="C29" i="1"/>
  <c r="B29" i="1"/>
  <c r="D29" i="1"/>
  <c r="E29" i="1"/>
  <c r="J9" i="14"/>
  <c r="J10" i="14"/>
  <c r="J11" i="14"/>
  <c r="J12" i="14"/>
  <c r="I12" i="14" s="1"/>
  <c r="J13" i="14"/>
  <c r="J14" i="14"/>
  <c r="J15" i="14"/>
  <c r="J16" i="14"/>
  <c r="I16" i="14" s="1"/>
  <c r="J17" i="14"/>
  <c r="J18" i="14"/>
  <c r="J19" i="14"/>
  <c r="J20" i="14"/>
  <c r="I20" i="14" s="1"/>
  <c r="J21" i="14"/>
  <c r="J22" i="14"/>
  <c r="B33" i="1"/>
  <c r="E33" i="1" s="1"/>
  <c r="D33" i="1"/>
  <c r="C33" i="1"/>
  <c r="F33" i="1"/>
  <c r="B34" i="1"/>
  <c r="C34" i="1"/>
  <c r="B35" i="1"/>
  <c r="D35" i="1"/>
  <c r="E35" i="1"/>
  <c r="C35" i="1"/>
  <c r="B36" i="1"/>
  <c r="D36" i="1"/>
  <c r="E36" i="1"/>
  <c r="C36" i="1"/>
  <c r="B37" i="1"/>
  <c r="E37" i="1" s="1"/>
  <c r="C37" i="1"/>
  <c r="B38" i="1"/>
  <c r="C38" i="1"/>
  <c r="B39" i="1"/>
  <c r="D39" i="1"/>
  <c r="E39" i="1"/>
  <c r="C39" i="1"/>
  <c r="F39" i="1" s="1"/>
  <c r="B40" i="1"/>
  <c r="D40" i="1"/>
  <c r="F40" i="1" s="1"/>
  <c r="E40" i="1"/>
  <c r="C40" i="1"/>
  <c r="B41" i="1"/>
  <c r="E41" i="1" s="1"/>
  <c r="D41" i="1"/>
  <c r="F41" i="1" s="1"/>
  <c r="C41" i="1"/>
  <c r="B42" i="1"/>
  <c r="C42" i="1"/>
  <c r="B43" i="1"/>
  <c r="D43" i="1"/>
  <c r="E43" i="1"/>
  <c r="C43" i="1"/>
  <c r="B44" i="1"/>
  <c r="D44" i="1"/>
  <c r="E44" i="1"/>
  <c r="C44" i="1"/>
  <c r="B45" i="1"/>
  <c r="E45" i="1" s="1"/>
  <c r="C45" i="1"/>
  <c r="B46" i="1"/>
  <c r="C46" i="1"/>
  <c r="B47" i="1"/>
  <c r="D47" i="1"/>
  <c r="E47" i="1"/>
  <c r="C47" i="1"/>
  <c r="F47" i="1" s="1"/>
  <c r="B48" i="1"/>
  <c r="D48" i="1"/>
  <c r="F48" i="1" s="1"/>
  <c r="E48" i="1"/>
  <c r="C48" i="1"/>
  <c r="B49" i="1"/>
  <c r="E49" i="1" s="1"/>
  <c r="D49" i="1"/>
  <c r="C49" i="1"/>
  <c r="F49" i="1"/>
  <c r="B50" i="1"/>
  <c r="C50" i="1"/>
  <c r="B51" i="1"/>
  <c r="D51" i="1"/>
  <c r="E51" i="1"/>
  <c r="C51" i="1"/>
  <c r="B52" i="1"/>
  <c r="D52" i="1"/>
  <c r="E52" i="1"/>
  <c r="C52" i="1"/>
  <c r="B53" i="1"/>
  <c r="E53" i="1" s="1"/>
  <c r="C53" i="1"/>
  <c r="A51" i="20"/>
  <c r="A3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2" i="20"/>
  <c r="M57" i="1"/>
  <c r="N57" i="1"/>
  <c r="O57" i="1"/>
  <c r="O54" i="1"/>
  <c r="P57" i="1"/>
  <c r="P54" i="1" s="1"/>
  <c r="Q57" i="1"/>
  <c r="Q54" i="1" s="1"/>
  <c r="R57" i="1"/>
  <c r="R54" i="1" s="1"/>
  <c r="S57" i="1"/>
  <c r="S54" i="1"/>
  <c r="T57" i="1"/>
  <c r="T54" i="1" s="1"/>
  <c r="U57" i="1"/>
  <c r="U54" i="1" s="1"/>
  <c r="V57" i="1"/>
  <c r="V54" i="1" s="1"/>
  <c r="W57" i="1"/>
  <c r="W54" i="1"/>
  <c r="X57" i="1"/>
  <c r="X54" i="1" s="1"/>
  <c r="Y57" i="1"/>
  <c r="Y54" i="1" s="1"/>
  <c r="Z57" i="1"/>
  <c r="Z54" i="1" s="1"/>
  <c r="AA57" i="1"/>
  <c r="AA54" i="1"/>
  <c r="AB57" i="1"/>
  <c r="AB54" i="1" s="1"/>
  <c r="AC57" i="1"/>
  <c r="AC54" i="1" s="1"/>
  <c r="AD57" i="1"/>
  <c r="AD54" i="1" s="1"/>
  <c r="AE57" i="1"/>
  <c r="AE54" i="1"/>
  <c r="AF57" i="1"/>
  <c r="AF54" i="1" s="1"/>
  <c r="AG57" i="1"/>
  <c r="AG54" i="1" s="1"/>
  <c r="AH57" i="1"/>
  <c r="AH54" i="1" s="1"/>
  <c r="AI57" i="1"/>
  <c r="AI54" i="1"/>
  <c r="AJ57" i="1"/>
  <c r="AJ54" i="1" s="1"/>
  <c r="AK57" i="1"/>
  <c r="AK54" i="1" s="1"/>
  <c r="AL57" i="1"/>
  <c r="AL54" i="1" s="1"/>
  <c r="AM57" i="1"/>
  <c r="AM54" i="1"/>
  <c r="AN57" i="1"/>
  <c r="AN54" i="1" s="1"/>
  <c r="AO57" i="1"/>
  <c r="AO54" i="1" s="1"/>
  <c r="A27" i="19"/>
  <c r="B27" i="19" s="1"/>
  <c r="C27" i="19" s="1"/>
  <c r="A28" i="19"/>
  <c r="B28" i="19" s="1"/>
  <c r="C28" i="19" s="1"/>
  <c r="A29" i="19"/>
  <c r="B29" i="19" s="1"/>
  <c r="C29" i="19" s="1"/>
  <c r="A30" i="19"/>
  <c r="B30" i="19"/>
  <c r="C30" i="19" s="1"/>
  <c r="A31" i="19"/>
  <c r="B31" i="19" s="1"/>
  <c r="C31" i="19" s="1"/>
  <c r="A32" i="19"/>
  <c r="B32" i="19" s="1"/>
  <c r="C32" i="19" s="1"/>
  <c r="A33" i="19"/>
  <c r="B33" i="19" s="1"/>
  <c r="C33" i="19" s="1"/>
  <c r="A34" i="19"/>
  <c r="B34" i="19"/>
  <c r="C34" i="19" s="1"/>
  <c r="A35" i="19"/>
  <c r="B35" i="19" s="1"/>
  <c r="C35" i="19" s="1"/>
  <c r="A36" i="19"/>
  <c r="B36" i="19" s="1"/>
  <c r="C36" i="19" s="1"/>
  <c r="A37" i="19"/>
  <c r="B37" i="19" s="1"/>
  <c r="C37" i="19" s="1"/>
  <c r="A38" i="19"/>
  <c r="B38" i="19"/>
  <c r="C38" i="19" s="1"/>
  <c r="A39" i="19"/>
  <c r="B39" i="19" s="1"/>
  <c r="C39" i="19" s="1"/>
  <c r="A40" i="19"/>
  <c r="B40" i="19" s="1"/>
  <c r="C40" i="19" s="1"/>
  <c r="A41" i="19"/>
  <c r="B41" i="19" s="1"/>
  <c r="C41" i="19" s="1"/>
  <c r="A42" i="19"/>
  <c r="B42" i="19"/>
  <c r="C42" i="19" s="1"/>
  <c r="A43" i="19"/>
  <c r="B43" i="19" s="1"/>
  <c r="C43" i="19" s="1"/>
  <c r="A44" i="19"/>
  <c r="B44" i="19" s="1"/>
  <c r="C44" i="19" s="1"/>
  <c r="A45" i="19"/>
  <c r="B45" i="19" s="1"/>
  <c r="C45" i="19" s="1"/>
  <c r="A46" i="19"/>
  <c r="B46" i="19"/>
  <c r="C46" i="19" s="1"/>
  <c r="A47" i="19"/>
  <c r="B47" i="19" s="1"/>
  <c r="C47" i="19" s="1"/>
  <c r="A48" i="19"/>
  <c r="B48" i="19" s="1"/>
  <c r="C48" i="19" s="1"/>
  <c r="A49" i="19"/>
  <c r="B49" i="19" s="1"/>
  <c r="C49" i="19" s="1"/>
  <c r="A50" i="19"/>
  <c r="B50" i="19"/>
  <c r="C50" i="19" s="1"/>
  <c r="A51" i="19"/>
  <c r="B51" i="19" s="1"/>
  <c r="C51" i="19" s="1"/>
  <c r="A3" i="19"/>
  <c r="B3" i="19" s="1"/>
  <c r="C3" i="19" s="1"/>
  <c r="A4" i="19"/>
  <c r="B4" i="19" s="1"/>
  <c r="C4" i="19" s="1"/>
  <c r="A5" i="19"/>
  <c r="B5" i="19"/>
  <c r="C5" i="19" s="1"/>
  <c r="A11" i="19"/>
  <c r="B11" i="19" s="1"/>
  <c r="C11" i="19" s="1"/>
  <c r="A12" i="19"/>
  <c r="B12" i="19" s="1"/>
  <c r="C12" i="19" s="1"/>
  <c r="A13" i="19"/>
  <c r="B13" i="19" s="1"/>
  <c r="C13" i="19" s="1"/>
  <c r="A18" i="19"/>
  <c r="B18" i="19"/>
  <c r="C18" i="19" s="1"/>
  <c r="A19" i="19"/>
  <c r="B19" i="19" s="1"/>
  <c r="C19" i="19" s="1"/>
  <c r="A20" i="19"/>
  <c r="B20" i="19"/>
  <c r="C20" i="19" s="1"/>
  <c r="A21" i="19"/>
  <c r="B21" i="19" s="1"/>
  <c r="C21" i="19" s="1"/>
  <c r="A24" i="19"/>
  <c r="B24" i="19"/>
  <c r="C24" i="19" s="1"/>
  <c r="A25" i="19"/>
  <c r="B25" i="19" s="1"/>
  <c r="C25" i="19" s="1"/>
  <c r="A26" i="19"/>
  <c r="B26" i="19"/>
  <c r="C26" i="19" s="1"/>
  <c r="A2" i="19"/>
  <c r="B2" i="19" s="1"/>
  <c r="C2" i="19" s="1"/>
  <c r="G3" i="16"/>
  <c r="G4" i="16"/>
  <c r="G5" i="16"/>
  <c r="G6" i="16"/>
  <c r="D27" i="16"/>
  <c r="D28" i="16"/>
  <c r="D29" i="16"/>
  <c r="D30" i="16"/>
  <c r="A8" i="19"/>
  <c r="B8" i="19"/>
  <c r="C8" i="19" s="1"/>
  <c r="A9" i="19"/>
  <c r="B9" i="19" s="1"/>
  <c r="C9" i="19" s="1"/>
  <c r="A10" i="19"/>
  <c r="B10" i="19"/>
  <c r="C10" i="19" s="1"/>
  <c r="A16" i="19"/>
  <c r="B16" i="19" s="1"/>
  <c r="C16" i="19" s="1"/>
  <c r="A17" i="19"/>
  <c r="B17" i="19"/>
  <c r="C17" i="19" s="1"/>
  <c r="A6" i="19"/>
  <c r="B6" i="19" s="1"/>
  <c r="C6" i="19" s="1"/>
  <c r="A7" i="19"/>
  <c r="B7" i="19"/>
  <c r="C7" i="19" s="1"/>
  <c r="A14" i="19"/>
  <c r="B14" i="19" s="1"/>
  <c r="C14" i="19" s="1"/>
  <c r="A15" i="19"/>
  <c r="B15" i="19"/>
  <c r="C15" i="19" s="1"/>
  <c r="A22" i="19"/>
  <c r="B22" i="19" s="1"/>
  <c r="C22" i="19" s="1"/>
  <c r="A23" i="19"/>
  <c r="B23" i="19"/>
  <c r="C23" i="19" s="1"/>
  <c r="D3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G54" i="1"/>
  <c r="A11" i="8"/>
  <c r="A15" i="8"/>
  <c r="A19" i="8"/>
  <c r="A21" i="8"/>
  <c r="A22" i="8"/>
  <c r="A24" i="8"/>
  <c r="A27" i="8"/>
  <c r="A28" i="8"/>
  <c r="A30" i="8"/>
  <c r="E1" i="18"/>
  <c r="E9" i="18"/>
  <c r="E5" i="18"/>
  <c r="E6" i="18"/>
  <c r="E4" i="18"/>
  <c r="E2" i="18"/>
  <c r="E7" i="18"/>
  <c r="E3" i="18"/>
  <c r="E24" i="18"/>
  <c r="E16" i="18"/>
  <c r="E10" i="18"/>
  <c r="E15" i="18"/>
  <c r="E17" i="18"/>
  <c r="E25" i="18"/>
  <c r="E18" i="18"/>
  <c r="E23" i="18"/>
  <c r="E21" i="18"/>
  <c r="E11" i="18"/>
  <c r="E22" i="18"/>
  <c r="E12" i="18"/>
  <c r="E19" i="18"/>
  <c r="E13" i="18"/>
  <c r="E20" i="18"/>
  <c r="E26" i="18"/>
  <c r="E14" i="18"/>
  <c r="E8" i="18"/>
  <c r="A32" i="8"/>
  <c r="A33" i="8"/>
  <c r="A34" i="8"/>
  <c r="A35" i="8"/>
  <c r="A36" i="8"/>
  <c r="A37" i="8"/>
  <c r="A38" i="8"/>
  <c r="A39" i="8"/>
  <c r="A41" i="8"/>
  <c r="A43" i="8"/>
  <c r="A44" i="8"/>
  <c r="A45" i="8"/>
  <c r="A46" i="8"/>
  <c r="A48" i="8"/>
  <c r="A49" i="8"/>
  <c r="A51" i="8"/>
  <c r="A52" i="8"/>
  <c r="A53" i="8"/>
  <c r="A54" i="8"/>
  <c r="J8" i="14"/>
  <c r="I8" i="14"/>
  <c r="I9" i="14"/>
  <c r="I11" i="14"/>
  <c r="I13" i="14"/>
  <c r="I14" i="14"/>
  <c r="I17" i="14"/>
  <c r="I18" i="14"/>
  <c r="I22" i="14"/>
  <c r="C8" i="14"/>
  <c r="B8" i="14"/>
  <c r="D8" i="14"/>
  <c r="C9" i="14"/>
  <c r="C10" i="14"/>
  <c r="D10" i="14" s="1"/>
  <c r="B10" i="14"/>
  <c r="I10" i="14"/>
  <c r="C11" i="14"/>
  <c r="D11" i="14" s="1"/>
  <c r="B11" i="14"/>
  <c r="C12" i="14"/>
  <c r="B12" i="14" s="1"/>
  <c r="D12" i="14"/>
  <c r="C13" i="14"/>
  <c r="B13" i="14" s="1"/>
  <c r="D13" i="14"/>
  <c r="C14" i="14"/>
  <c r="B14" i="14"/>
  <c r="D14" i="14"/>
  <c r="C15" i="14"/>
  <c r="I15" i="14"/>
  <c r="C16" i="14"/>
  <c r="C17" i="14"/>
  <c r="D17" i="14" s="1"/>
  <c r="B17" i="14"/>
  <c r="C18" i="14"/>
  <c r="B18" i="14" s="1"/>
  <c r="D18" i="14"/>
  <c r="C19" i="14"/>
  <c r="B19" i="14"/>
  <c r="D19" i="14"/>
  <c r="C20" i="14"/>
  <c r="C21" i="14"/>
  <c r="I21" i="14"/>
  <c r="C22" i="14"/>
  <c r="C23" i="14"/>
  <c r="E23" i="14"/>
  <c r="H23" i="14"/>
  <c r="H57" i="1"/>
  <c r="H54" i="1" s="1"/>
  <c r="I54" i="1" s="1"/>
  <c r="J54" i="1" s="1"/>
  <c r="K54" i="1" s="1"/>
  <c r="G57" i="1"/>
  <c r="F55" i="1"/>
  <c r="A12" i="8"/>
  <c r="A42" i="8"/>
  <c r="A50" i="8"/>
  <c r="D1" i="8"/>
  <c r="I19" i="14"/>
  <c r="A6" i="8"/>
  <c r="A20" i="8"/>
  <c r="A16" i="8"/>
  <c r="A7" i="8"/>
  <c r="A14" i="8"/>
  <c r="A9" i="8"/>
  <c r="A10" i="8"/>
  <c r="A17" i="8"/>
  <c r="A8" i="8"/>
  <c r="A25" i="8"/>
  <c r="A31" i="8"/>
  <c r="A23" i="8"/>
  <c r="A13" i="8"/>
  <c r="A26" i="8"/>
  <c r="A18" i="8"/>
  <c r="B22" i="14" l="1"/>
  <c r="D22" i="14"/>
  <c r="B23" i="14"/>
  <c r="L54" i="1"/>
  <c r="M54" i="1" s="1"/>
  <c r="B16" i="14"/>
  <c r="D16" i="14"/>
  <c r="B15" i="14"/>
  <c r="D15" i="14"/>
  <c r="B20" i="14"/>
  <c r="D20" i="14"/>
  <c r="B21" i="14"/>
  <c r="D21" i="14"/>
  <c r="B9" i="14"/>
  <c r="D9" i="14"/>
  <c r="D23" i="14" s="1"/>
  <c r="E38" i="1"/>
  <c r="D38" i="1"/>
  <c r="F38" i="1" s="1"/>
  <c r="E27" i="1"/>
  <c r="D27" i="1"/>
  <c r="F27" i="1" s="1"/>
  <c r="E11" i="1"/>
  <c r="D11" i="1"/>
  <c r="F11" i="1" s="1"/>
  <c r="A47" i="8"/>
  <c r="F51" i="1"/>
  <c r="D45" i="1"/>
  <c r="F45" i="1" s="1"/>
  <c r="F44" i="1"/>
  <c r="E42" i="1"/>
  <c r="D42" i="1"/>
  <c r="F42" i="1" s="1"/>
  <c r="F35" i="1"/>
  <c r="D22" i="1"/>
  <c r="F22" i="1" s="1"/>
  <c r="F21" i="1"/>
  <c r="E15" i="1"/>
  <c r="D15" i="1"/>
  <c r="D6" i="1"/>
  <c r="I56" i="1" s="1"/>
  <c r="F5" i="1"/>
  <c r="N54" i="1"/>
  <c r="E46" i="1"/>
  <c r="D46" i="1"/>
  <c r="F46" i="1" s="1"/>
  <c r="E19" i="1"/>
  <c r="D19" i="1"/>
  <c r="E32" i="1"/>
  <c r="D32" i="1"/>
  <c r="F32" i="1" s="1"/>
  <c r="A55" i="8"/>
  <c r="H5" i="14"/>
  <c r="A40" i="8"/>
  <c r="A29" i="8"/>
  <c r="D53" i="1"/>
  <c r="F53" i="1" s="1"/>
  <c r="F52" i="1"/>
  <c r="E50" i="1"/>
  <c r="D50" i="1"/>
  <c r="F50" i="1" s="1"/>
  <c r="F43" i="1"/>
  <c r="D37" i="1"/>
  <c r="F37" i="1" s="1"/>
  <c r="F36" i="1"/>
  <c r="E34" i="1"/>
  <c r="D34" i="1"/>
  <c r="F34" i="1" s="1"/>
  <c r="F29" i="1"/>
  <c r="E23" i="1"/>
  <c r="D23" i="1"/>
  <c r="F23" i="1" s="1"/>
  <c r="D14" i="1"/>
  <c r="F14" i="1" s="1"/>
  <c r="F13" i="1"/>
  <c r="E7" i="1"/>
  <c r="D7" i="1"/>
  <c r="Q56" i="1" s="1"/>
  <c r="T56" i="1" l="1"/>
  <c r="G55" i="1"/>
  <c r="Q55" i="1"/>
  <c r="AG55" i="1"/>
  <c r="M56" i="1"/>
  <c r="AB55" i="1"/>
  <c r="AF56" i="1"/>
  <c r="P56" i="1"/>
  <c r="AO56" i="1"/>
  <c r="Y56" i="1"/>
  <c r="X55" i="1"/>
  <c r="N55" i="1"/>
  <c r="O55" i="1"/>
  <c r="AJ56" i="1"/>
  <c r="AC56" i="1"/>
  <c r="AI55" i="1"/>
  <c r="F7" i="1"/>
  <c r="AJ55" i="1"/>
  <c r="F19" i="1"/>
  <c r="AC55" i="1"/>
  <c r="AB56" i="1"/>
  <c r="L56" i="1"/>
  <c r="AK56" i="1"/>
  <c r="U56" i="1"/>
  <c r="F6" i="1"/>
  <c r="I55" i="1" s="1"/>
  <c r="J56" i="1"/>
  <c r="R56" i="1"/>
  <c r="Z56" i="1"/>
  <c r="AH56" i="1"/>
  <c r="G56" i="1"/>
  <c r="D2" i="8"/>
  <c r="K56" i="1"/>
  <c r="AI56" i="1"/>
  <c r="AM56" i="1"/>
  <c r="S56" i="1"/>
  <c r="AA56" i="1"/>
  <c r="AE56" i="1"/>
  <c r="N56" i="1"/>
  <c r="V56" i="1"/>
  <c r="AD56" i="1"/>
  <c r="AL56" i="1"/>
  <c r="O56" i="1"/>
  <c r="W56" i="1"/>
  <c r="AF55" i="1"/>
  <c r="J55" i="1"/>
  <c r="AA55" i="1"/>
  <c r="K55" i="1"/>
  <c r="R55" i="1"/>
  <c r="L55" i="1"/>
  <c r="AK55" i="1"/>
  <c r="AN56" i="1"/>
  <c r="X56" i="1"/>
  <c r="H56" i="1"/>
  <c r="AG56" i="1"/>
  <c r="F15" i="1"/>
  <c r="Z55" i="1" s="1"/>
  <c r="H55" i="1"/>
  <c r="AN55" i="1"/>
  <c r="AL55" i="1"/>
  <c r="V55" i="1"/>
  <c r="AM55" i="1"/>
  <c r="W55" i="1"/>
  <c r="B2" i="8"/>
  <c r="AH55" i="1" l="1"/>
  <c r="AE55" i="1"/>
  <c r="U55" i="1"/>
  <c r="AO55" i="1"/>
  <c r="P55" i="1"/>
  <c r="M55" i="1"/>
  <c r="T55" i="1"/>
  <c r="AD55" i="1"/>
  <c r="S55" i="1"/>
  <c r="Y55" i="1"/>
</calcChain>
</file>

<file path=xl/sharedStrings.xml><?xml version="1.0" encoding="utf-8"?>
<sst xmlns="http://schemas.openxmlformats.org/spreadsheetml/2006/main" count="361" uniqueCount="183">
  <si>
    <t>Survey Name</t>
  </si>
  <si>
    <t>Final Score</t>
  </si>
  <si>
    <t>weeks available</t>
  </si>
  <si>
    <t>return on effort</t>
  </si>
  <si>
    <t>weeks used</t>
  </si>
  <si>
    <t xml:space="preserve"> </t>
  </si>
  <si>
    <t>Fund raising</t>
  </si>
  <si>
    <t>Professional development</t>
  </si>
  <si>
    <t>Supervision</t>
  </si>
  <si>
    <t>Research</t>
  </si>
  <si>
    <t>External activities</t>
  </si>
  <si>
    <t>WHRs</t>
  </si>
  <si>
    <t>Analysis and summary</t>
  </si>
  <si>
    <t>Data management</t>
  </si>
  <si>
    <t>Monitoring</t>
  </si>
  <si>
    <t>Conservation delivery</t>
  </si>
  <si>
    <t>Planning</t>
  </si>
  <si>
    <t>Leave</t>
  </si>
  <si>
    <t>Safety and other training</t>
  </si>
  <si>
    <t>Other duties</t>
  </si>
  <si>
    <t>Refuge surveillance</t>
  </si>
  <si>
    <t>weeks</t>
  </si>
  <si>
    <t>% time</t>
  </si>
  <si>
    <t>Hrs/wk</t>
  </si>
  <si>
    <t>Wks</t>
  </si>
  <si>
    <t>Average Hrs/yr.</t>
  </si>
  <si>
    <t>% of Time</t>
  </si>
  <si>
    <t>Refuge Biologist Duty</t>
  </si>
  <si>
    <t xml:space="preserve">Estimated Annual Commitment (weeks) </t>
  </si>
  <si>
    <t>Survey</t>
  </si>
  <si>
    <t>1. Estimate commitment to each duty as % of total time in highlighted cells</t>
  </si>
  <si>
    <t>2. Ensure that 100% of time is not exceded ( highlighted in red below when exceeded)</t>
  </si>
  <si>
    <t>3.  Fill in annual survey time commitment estimates and frequency over the life of the IMP on the next sheet (survey time)</t>
  </si>
  <si>
    <t>total weeks (&lt;52)</t>
  </si>
  <si>
    <t>weeks for Biological surveys:</t>
  </si>
  <si>
    <t>hours per year</t>
  </si>
  <si>
    <t>Frequency over life of IMP (# years out of 15 years)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</si>
  <si>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</si>
  <si>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</si>
  <si>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</si>
  <si>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</si>
  <si>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</si>
  <si>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</si>
  <si>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</si>
  <si>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</si>
  <si>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</si>
  <si>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</si>
  <si>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survey name</t>
  </si>
  <si>
    <t>survey selected as constraint?</t>
  </si>
  <si>
    <t>constrained =1</t>
  </si>
  <si>
    <t>Portfolios</t>
  </si>
  <si>
    <t>Freq. over life IMP</t>
  </si>
  <si>
    <t>Return on time over life IMP</t>
  </si>
  <si>
    <t>annual weeks</t>
  </si>
  <si>
    <t>surveys selected directly or via solver in the</t>
  </si>
  <si>
    <t xml:space="preserve"> (yes=1, 0=no)</t>
  </si>
  <si>
    <t>Annual weeks</t>
  </si>
  <si>
    <t>priority</t>
  </si>
  <si>
    <t xml:space="preserve">Portfolio Name: </t>
  </si>
  <si>
    <t># surveys</t>
  </si>
  <si>
    <t>Bathymetry</t>
  </si>
  <si>
    <t>BBS vacant Mo or Iowa routes</t>
  </si>
  <si>
    <t>water level monitoring (hsb and lsa)</t>
  </si>
  <si>
    <t>vegetative cover monitoring</t>
  </si>
  <si>
    <t>Small Mammals Surveys</t>
  </si>
  <si>
    <t>fish surveys</t>
  </si>
  <si>
    <t xml:space="preserve">aquatic invertebrates </t>
  </si>
  <si>
    <t>pollinator inventory</t>
  </si>
  <si>
    <t>mussel surveys</t>
  </si>
  <si>
    <t>Butterfly Surveys</t>
  </si>
  <si>
    <t xml:space="preserve">mid-winter waterfowl survey </t>
  </si>
  <si>
    <t>mid-winter eagle survey</t>
  </si>
  <si>
    <t>bat inventory/monitoring</t>
  </si>
  <si>
    <t>amphibian and reptile</t>
  </si>
  <si>
    <t xml:space="preserve">american woodcock </t>
  </si>
  <si>
    <t>invasive species inventory/monitoring</t>
  </si>
  <si>
    <t xml:space="preserve">forest inventory </t>
  </si>
  <si>
    <t>secretive marshbird monitoring</t>
  </si>
  <si>
    <t>reed canary grass AM vegetation survey</t>
  </si>
  <si>
    <t>Monitoring Avian Productivity and Survivorship (MAPS)</t>
  </si>
  <si>
    <t>Late Summer/ Early Fall Shorebird Surveys</t>
  </si>
  <si>
    <t>landbird point counts</t>
  </si>
  <si>
    <t>Keithsburg Division Contaminants Monitoring</t>
  </si>
  <si>
    <t xml:space="preserve">fall weekly waterfowl surveys (dnr)/waterbird survey </t>
  </si>
  <si>
    <t>aquatic vegetation</t>
  </si>
  <si>
    <t>Final Rank</t>
  </si>
  <si>
    <t>change</t>
  </si>
  <si>
    <t>5% class</t>
  </si>
  <si>
    <t>group</t>
  </si>
  <si>
    <t>90th</t>
  </si>
  <si>
    <t>80th</t>
  </si>
  <si>
    <t>70th</t>
  </si>
  <si>
    <t>50th</t>
  </si>
  <si>
    <t>&lt;50th</t>
  </si>
  <si>
    <t>percentile</t>
  </si>
  <si>
    <t>score</t>
  </si>
  <si>
    <t>Return over life IMP</t>
  </si>
  <si>
    <t>start year</t>
  </si>
  <si>
    <t xml:space="preserve">end year </t>
  </si>
  <si>
    <t>conduct with existing resources</t>
  </si>
  <si>
    <t>Not selected</t>
  </si>
  <si>
    <t>conduct with additional resources</t>
  </si>
  <si>
    <t>Selection status</t>
  </si>
  <si>
    <t>Portfolio</t>
  </si>
  <si>
    <t>Final SMART tool score</t>
  </si>
  <si>
    <t>NPAM</t>
  </si>
  <si>
    <t>Remnant Prairie Inventory</t>
  </si>
  <si>
    <t>Thistle Study</t>
  </si>
  <si>
    <t>GMT</t>
  </si>
  <si>
    <t>Sediment</t>
  </si>
  <si>
    <t>Prairie Reconstruction</t>
  </si>
  <si>
    <t>Prairie Butterflies</t>
  </si>
  <si>
    <t>Wetland Condition Assessment</t>
  </si>
  <si>
    <t>Grassland Bird Inventory</t>
  </si>
  <si>
    <t>Invasive Species</t>
  </si>
  <si>
    <t>FSM</t>
  </si>
  <si>
    <t>Grazing Rapid Assessment</t>
  </si>
  <si>
    <t>Wetland Veg Monitoring</t>
  </si>
  <si>
    <t>Glacial Lake Overspray</t>
  </si>
  <si>
    <t>Wetland Resources Long-Term</t>
  </si>
  <si>
    <t>Contaminants and Wetland Inverts</t>
  </si>
  <si>
    <t>Wild Rice</t>
  </si>
  <si>
    <t>IWMM</t>
  </si>
  <si>
    <t>BBS</t>
  </si>
  <si>
    <t>Colonial Waterbirds</t>
  </si>
  <si>
    <t>Darnen Water Quality</t>
  </si>
  <si>
    <t>Water Levels</t>
  </si>
  <si>
    <t>Nest Stuctures</t>
  </si>
  <si>
    <t>Baseline Wildlife</t>
  </si>
  <si>
    <t>Woodcock Survey</t>
  </si>
  <si>
    <t>Relocating Prairie Chickens</t>
  </si>
  <si>
    <t>NAAMP</t>
  </si>
  <si>
    <t>Dove Banding</t>
  </si>
  <si>
    <t>CBC</t>
  </si>
  <si>
    <t>late summer</t>
  </si>
  <si>
    <t>summer/fall</t>
  </si>
  <si>
    <t>spring</t>
  </si>
  <si>
    <t>spring/summer</t>
  </si>
  <si>
    <t>field season</t>
  </si>
  <si>
    <t>winter</t>
  </si>
  <si>
    <t>summer</t>
  </si>
  <si>
    <t>September</t>
  </si>
  <si>
    <t>December</t>
  </si>
  <si>
    <t>n/a</t>
  </si>
  <si>
    <t>Sara</t>
  </si>
  <si>
    <t>Donna</t>
  </si>
  <si>
    <t>biotech</t>
  </si>
  <si>
    <t>additonal staff</t>
  </si>
  <si>
    <t>All Surveys</t>
  </si>
  <si>
    <t>Flexible?</t>
  </si>
  <si>
    <t>no</t>
  </si>
  <si>
    <t>yes</t>
  </si>
  <si>
    <t>new, will depend on number of sites monitored</t>
  </si>
  <si>
    <t>annual time will actually vary by year depending on number of basins added and time since restoration</t>
  </si>
  <si>
    <t>Current?</t>
  </si>
  <si>
    <t>pilot</t>
  </si>
  <si>
    <t>may want to repeat in future, but unsure</t>
  </si>
  <si>
    <t>follow-up is possible but unknown at this time</t>
  </si>
  <si>
    <t>Season for field work</t>
  </si>
  <si>
    <t>assuming 3 year research project, unsure right now our level of commitment</t>
  </si>
  <si>
    <t>possibly could reduce number of visits (would need to talk w/ hydrology)</t>
  </si>
  <si>
    <t>new, will depend on number of sites monitored and involvement from others</t>
  </si>
  <si>
    <t>could reduce effort (frequency and/or # of WPAs)</t>
  </si>
  <si>
    <t>every 5 years</t>
  </si>
  <si>
    <t>n/a (contract)</t>
  </si>
  <si>
    <t>new, will depend on number of sites and number of guilds</t>
  </si>
  <si>
    <t>this is for 2 routes, could reduce</t>
  </si>
  <si>
    <t>this is for 3 routes, could reduce</t>
  </si>
  <si>
    <t>this is for 4 routes, could reduce</t>
  </si>
  <si>
    <t>takes minimum 4 people, could reduce paid staff participation</t>
  </si>
  <si>
    <t>could reduce effort (trapping window)</t>
  </si>
  <si>
    <t>completed</t>
  </si>
  <si>
    <t>not annual</t>
  </si>
  <si>
    <t>could adjust effort (frequency and/or # of WPAs), 8.2 is minimum-prefer 13.2</t>
  </si>
  <si>
    <t>new in life of this plan</t>
  </si>
  <si>
    <t>Score Rank</t>
  </si>
  <si>
    <t>Simple Optimized</t>
  </si>
  <si>
    <t>Ignore Return</t>
  </si>
  <si>
    <t>2015 Planned</t>
  </si>
  <si>
    <t>Critical</t>
  </si>
  <si>
    <t>Simple Opt (low staff)</t>
  </si>
  <si>
    <t>Ignore Return (low staff)</t>
  </si>
  <si>
    <t>Critical (low staff)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</si>
</sst>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41">
    <xf numFmtId="0" fontId="0" fillId="0" borderId="0" xfId="0"/>
    <xf numFmtId="0" fontId="3" fillId="0" borderId="0" xfId="1"/>
    <xf numFmtId="1" fontId="3" fillId="0" borderId="0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/>
    <xf numFmtId="164" fontId="3" fillId="0" borderId="0" xfId="1" applyNumberForma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Border="1" applyAlignment="1">
      <alignment horizontal="center"/>
    </xf>
    <xf numFmtId="164" fontId="3" fillId="0" borderId="6" xfId="1" applyNumberFormat="1" applyBorder="1" applyAlignment="1">
      <alignment horizontal="center"/>
    </xf>
    <xf numFmtId="0" fontId="3" fillId="0" borderId="6" xfId="1" applyBorder="1"/>
    <xf numFmtId="0" fontId="3" fillId="0" borderId="0" xfId="1" applyAlignment="1">
      <alignment horizontal="center"/>
    </xf>
    <xf numFmtId="0" fontId="1" fillId="0" borderId="0" xfId="3"/>
    <xf numFmtId="0" fontId="1" fillId="0" borderId="11" xfId="3" applyBorder="1"/>
    <xf numFmtId="0" fontId="1" fillId="0" borderId="17" xfId="3" applyBorder="1"/>
    <xf numFmtId="164" fontId="3" fillId="0" borderId="0" xfId="1" applyNumberFormat="1"/>
    <xf numFmtId="0" fontId="0" fillId="0" borderId="0" xfId="0" applyAlignment="1">
      <alignment horizontal="center"/>
    </xf>
    <xf numFmtId="0" fontId="5" fillId="0" borderId="0" xfId="3" applyFont="1"/>
    <xf numFmtId="0" fontId="1" fillId="0" borderId="19" xfId="3" applyFont="1" applyBorder="1"/>
    <xf numFmtId="0" fontId="1" fillId="0" borderId="13" xfId="3" applyFont="1" applyBorder="1"/>
    <xf numFmtId="0" fontId="1" fillId="0" borderId="21" xfId="3" applyBorder="1" applyAlignment="1">
      <alignment horizontal="center"/>
    </xf>
    <xf numFmtId="0" fontId="1" fillId="0" borderId="22" xfId="3" applyBorder="1" applyAlignment="1">
      <alignment horizontal="center"/>
    </xf>
    <xf numFmtId="0" fontId="1" fillId="0" borderId="22" xfId="3" applyFont="1" applyBorder="1" applyAlignment="1">
      <alignment horizontal="center"/>
    </xf>
    <xf numFmtId="0" fontId="1" fillId="0" borderId="23" xfId="3" applyBorder="1" applyAlignment="1">
      <alignment horizontal="center"/>
    </xf>
    <xf numFmtId="0" fontId="1" fillId="0" borderId="16" xfId="3" applyBorder="1" applyAlignment="1">
      <alignment horizontal="center"/>
    </xf>
    <xf numFmtId="0" fontId="1" fillId="0" borderId="0" xfId="3" applyBorder="1" applyAlignment="1">
      <alignment horizontal="center"/>
    </xf>
    <xf numFmtId="0" fontId="1" fillId="5" borderId="15" xfId="3" applyFill="1" applyBorder="1" applyAlignment="1">
      <alignment horizontal="center"/>
    </xf>
    <xf numFmtId="0" fontId="1" fillId="0" borderId="14" xfId="3" applyBorder="1" applyAlignment="1">
      <alignment horizontal="center"/>
    </xf>
    <xf numFmtId="0" fontId="1" fillId="6" borderId="16" xfId="3" applyFill="1" applyBorder="1" applyAlignment="1">
      <alignment horizontal="center"/>
    </xf>
    <xf numFmtId="0" fontId="1" fillId="6" borderId="0" xfId="3" applyFill="1" applyBorder="1" applyAlignment="1">
      <alignment horizontal="center"/>
    </xf>
    <xf numFmtId="0" fontId="1" fillId="6" borderId="14" xfId="3" applyFill="1" applyBorder="1" applyAlignment="1">
      <alignment horizontal="center"/>
    </xf>
    <xf numFmtId="0" fontId="1" fillId="0" borderId="13" xfId="3" applyBorder="1" applyAlignment="1">
      <alignment horizontal="center"/>
    </xf>
    <xf numFmtId="0" fontId="1" fillId="0" borderId="11" xfId="3" applyBorder="1" applyAlignment="1">
      <alignment horizontal="center"/>
    </xf>
    <xf numFmtId="0" fontId="1" fillId="0" borderId="10" xfId="3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164" fontId="4" fillId="0" borderId="0" xfId="1" applyNumberFormat="1" applyFont="1" applyBorder="1" applyAlignment="1">
      <alignment horizontal="center" wrapText="1"/>
    </xf>
    <xf numFmtId="0" fontId="3" fillId="0" borderId="0" xfId="1" applyAlignment="1">
      <alignment wrapText="1"/>
    </xf>
    <xf numFmtId="164" fontId="3" fillId="5" borderId="1" xfId="1" applyNumberFormat="1" applyFill="1" applyBorder="1" applyAlignment="1">
      <alignment horizontal="center"/>
    </xf>
    <xf numFmtId="0" fontId="3" fillId="5" borderId="1" xfId="1" applyFill="1" applyBorder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7" borderId="0" xfId="0" applyFill="1"/>
    <xf numFmtId="2" fontId="0" fillId="0" borderId="14" xfId="0" applyNumberFormat="1" applyBorder="1" applyAlignment="1">
      <alignment horizontal="center"/>
    </xf>
    <xf numFmtId="0" fontId="0" fillId="7" borderId="0" xfId="0" applyFill="1" applyAlignment="1">
      <alignment horizontal="center"/>
    </xf>
    <xf numFmtId="1" fontId="6" fillId="3" borderId="3" xfId="1" applyNumberFormat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6" xfId="1" applyFont="1" applyFill="1" applyBorder="1" applyAlignment="1">
      <alignment horizontal="center"/>
    </xf>
    <xf numFmtId="0" fontId="6" fillId="3" borderId="7" xfId="1" applyFont="1" applyFill="1" applyBorder="1" applyAlignment="1">
      <alignment horizontal="center"/>
    </xf>
    <xf numFmtId="1" fontId="0" fillId="8" borderId="0" xfId="0" applyNumberFormat="1" applyFill="1" applyAlignment="1">
      <alignment horizontal="left"/>
    </xf>
    <xf numFmtId="2" fontId="0" fillId="8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2" fontId="0" fillId="8" borderId="14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2" borderId="1" xfId="1" applyFont="1" applyFill="1" applyBorder="1" applyAlignment="1">
      <alignment horizontal="right"/>
    </xf>
    <xf numFmtId="0" fontId="3" fillId="0" borderId="27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right"/>
    </xf>
    <xf numFmtId="2" fontId="3" fillId="8" borderId="12" xfId="1" applyNumberFormat="1" applyFont="1" applyFill="1" applyBorder="1" applyAlignment="1">
      <alignment horizontal="center"/>
    </xf>
    <xf numFmtId="164" fontId="3" fillId="8" borderId="1" xfId="1" applyNumberFormat="1" applyFill="1" applyBorder="1" applyAlignment="1">
      <alignment horizontal="center"/>
    </xf>
    <xf numFmtId="0" fontId="0" fillId="7" borderId="0" xfId="0" applyFill="1" applyBorder="1"/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2" fontId="6" fillId="3" borderId="5" xfId="1" applyNumberFormat="1" applyFont="1" applyFill="1" applyBorder="1" applyAlignment="1">
      <alignment horizontal="center"/>
    </xf>
    <xf numFmtId="2" fontId="3" fillId="0" borderId="8" xfId="1" applyNumberFormat="1" applyBorder="1" applyAlignment="1">
      <alignment horizontal="center"/>
    </xf>
    <xf numFmtId="2" fontId="3" fillId="0" borderId="5" xfId="1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8" xfId="3" applyFont="1" applyFill="1" applyBorder="1"/>
    <xf numFmtId="0" fontId="2" fillId="0" borderId="12" xfId="3" applyFont="1" applyBorder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0" xfId="0" applyFill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8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164" fontId="0" fillId="8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8" borderId="0" xfId="0" applyNumberFormat="1" applyFill="1" applyBorder="1" applyAlignment="1">
      <alignment horizontal="center"/>
    </xf>
    <xf numFmtId="0" fontId="0" fillId="0" borderId="0" xfId="0" applyBorder="1"/>
    <xf numFmtId="1" fontId="0" fillId="8" borderId="25" xfId="0" applyNumberFormat="1" applyFill="1" applyBorder="1" applyAlignment="1">
      <alignment horizontal="center"/>
    </xf>
    <xf numFmtId="2" fontId="0" fillId="8" borderId="25" xfId="0" applyNumberFormat="1" applyFill="1" applyBorder="1" applyAlignment="1">
      <alignment horizontal="center"/>
    </xf>
    <xf numFmtId="0" fontId="0" fillId="0" borderId="11" xfId="0" applyBorder="1"/>
    <xf numFmtId="0" fontId="0" fillId="12" borderId="0" xfId="0" applyFill="1" applyAlignment="1">
      <alignment horizontal="center"/>
    </xf>
    <xf numFmtId="0" fontId="0" fillId="12" borderId="0" xfId="0" applyFill="1"/>
    <xf numFmtId="2" fontId="0" fillId="8" borderId="6" xfId="0" applyNumberFormat="1" applyFill="1" applyBorder="1" applyAlignment="1">
      <alignment horizontal="center" vertical="center" wrapText="1"/>
    </xf>
    <xf numFmtId="2" fontId="0" fillId="8" borderId="6" xfId="0" applyNumberFormat="1" applyFill="1" applyBorder="1" applyAlignment="1">
      <alignment horizontal="left" vertical="center" wrapText="1"/>
    </xf>
    <xf numFmtId="164" fontId="0" fillId="8" borderId="6" xfId="0" applyNumberFormat="1" applyFill="1" applyBorder="1" applyAlignment="1">
      <alignment horizontal="center" vertical="center" wrapText="1"/>
    </xf>
    <xf numFmtId="2" fontId="0" fillId="8" borderId="24" xfId="0" applyNumberFormat="1" applyFill="1" applyBorder="1" applyAlignment="1">
      <alignment horizontal="center" vertical="center" wrapText="1"/>
    </xf>
    <xf numFmtId="2" fontId="0" fillId="12" borderId="6" xfId="0" applyNumberFormat="1" applyFill="1" applyBorder="1" applyAlignment="1">
      <alignment horizontal="center" vertical="center" wrapText="1"/>
    </xf>
    <xf numFmtId="2" fontId="0" fillId="12" borderId="6" xfId="0" applyNumberFormat="1" applyFill="1" applyBorder="1" applyAlignment="1">
      <alignment vertical="center" wrapText="1"/>
    </xf>
    <xf numFmtId="2" fontId="0" fillId="0" borderId="6" xfId="0" applyNumberFormat="1" applyBorder="1" applyAlignment="1">
      <alignment vertical="center" wrapText="1"/>
    </xf>
    <xf numFmtId="0" fontId="0" fillId="12" borderId="13" xfId="0" applyFill="1" applyBorder="1" applyAlignment="1">
      <alignment horizontal="center"/>
    </xf>
    <xf numFmtId="2" fontId="0" fillId="8" borderId="30" xfId="0" applyNumberFormat="1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2" fontId="0" fillId="8" borderId="0" xfId="0" applyNumberFormat="1" applyFill="1" applyBorder="1" applyAlignment="1">
      <alignment horizontal="left"/>
    </xf>
    <xf numFmtId="2" fontId="0" fillId="8" borderId="0" xfId="0" applyNumberForma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0" fillId="5" borderId="0" xfId="0" applyFill="1" applyAlignment="1">
      <alignment horizontal="center"/>
    </xf>
    <xf numFmtId="0" fontId="0" fillId="5" borderId="15" xfId="3" applyFont="1" applyFill="1" applyBorder="1" applyAlignment="1">
      <alignment horizontal="center"/>
    </xf>
    <xf numFmtId="0" fontId="1" fillId="5" borderId="12" xfId="3" applyFill="1" applyBorder="1" applyAlignment="1">
      <alignment horizontal="center"/>
    </xf>
    <xf numFmtId="0" fontId="3" fillId="0" borderId="0" xfId="1" applyBorder="1" applyAlignment="1">
      <alignment wrapText="1"/>
    </xf>
    <xf numFmtId="0" fontId="0" fillId="0" borderId="0" xfId="0" applyAlignment="1">
      <alignment wrapText="1"/>
    </xf>
    <xf numFmtId="165" fontId="4" fillId="0" borderId="0" xfId="0" applyNumberFormat="1" applyFont="1" applyFill="1" applyBorder="1" applyAlignment="1">
      <alignment horizontal="center" vertical="center"/>
    </xf>
    <xf numFmtId="0" fontId="0" fillId="0" borderId="0" xfId="3" applyFont="1"/>
    <xf numFmtId="0" fontId="0" fillId="14" borderId="0" xfId="0" applyFill="1"/>
    <xf numFmtId="0" fontId="3" fillId="14" borderId="0" xfId="1" applyFill="1"/>
    <xf numFmtId="0" fontId="0" fillId="15" borderId="0" xfId="0" applyFill="1"/>
    <xf numFmtId="0" fontId="3" fillId="15" borderId="0" xfId="1" applyFill="1"/>
    <xf numFmtId="0" fontId="0" fillId="15" borderId="0" xfId="3" applyFont="1" applyFill="1"/>
    <xf numFmtId="0" fontId="0" fillId="13" borderId="0" xfId="0" applyFill="1"/>
    <xf numFmtId="0" fontId="3" fillId="13" borderId="0" xfId="1" applyFill="1"/>
    <xf numFmtId="0" fontId="0" fillId="13" borderId="0" xfId="3" applyFont="1" applyFill="1"/>
    <xf numFmtId="0" fontId="4" fillId="0" borderId="33" xfId="1" applyFont="1" applyBorder="1" applyAlignment="1"/>
    <xf numFmtId="0" fontId="3" fillId="0" borderId="0" xfId="1" applyAlignment="1"/>
    <xf numFmtId="0" fontId="3" fillId="0" borderId="0" xfId="1" applyBorder="1" applyAlignment="1"/>
    <xf numFmtId="0" fontId="0" fillId="0" borderId="0" xfId="0" applyAlignment="1"/>
    <xf numFmtId="2" fontId="0" fillId="4" borderId="25" xfId="0" applyNumberFormat="1" applyFill="1" applyBorder="1" applyAlignment="1">
      <alignment horizontal="center"/>
    </xf>
    <xf numFmtId="0" fontId="0" fillId="15" borderId="0" xfId="0" applyFill="1" applyAlignment="1">
      <alignment wrapText="1"/>
    </xf>
    <xf numFmtId="0" fontId="0" fillId="13" borderId="0" xfId="0" applyFill="1" applyAlignment="1">
      <alignment wrapText="1"/>
    </xf>
  </cellXfs>
  <cellStyles count="5">
    <cellStyle name="Currency 2" xfId="2"/>
    <cellStyle name="Normal" xfId="0" builtinId="0"/>
    <cellStyle name="Normal 2" xfId="1"/>
    <cellStyle name="Normal 3" xfId="3"/>
    <cellStyle name="Normal 3 2" xfId="4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cat>
            <c:strRef>
              <c:f>'annual time budget'!$A$8:$A$22</c:f>
              <c:strCache>
                <c:ptCount val="15"/>
                <c:pt idx="0">
                  <c:v>Refuge surveillance</c:v>
                </c:pt>
                <c:pt idx="1">
                  <c:v>Other duties</c:v>
                </c:pt>
                <c:pt idx="2">
                  <c:v>Safety and other training</c:v>
                </c:pt>
                <c:pt idx="3">
                  <c:v>Leave</c:v>
                </c:pt>
                <c:pt idx="4">
                  <c:v>Planning</c:v>
                </c:pt>
                <c:pt idx="5">
                  <c:v>Conservation delivery</c:v>
                </c:pt>
                <c:pt idx="6">
                  <c:v>Monitoring</c:v>
                </c:pt>
                <c:pt idx="7">
                  <c:v>Data management</c:v>
                </c:pt>
                <c:pt idx="8">
                  <c:v>Analysis and summary</c:v>
                </c:pt>
                <c:pt idx="9">
                  <c:v>WHRs</c:v>
                </c:pt>
                <c:pt idx="10">
                  <c:v>External activities</c:v>
                </c:pt>
                <c:pt idx="11">
                  <c:v>Research</c:v>
                </c:pt>
                <c:pt idx="12">
                  <c:v>Supervision</c:v>
                </c:pt>
                <c:pt idx="13">
                  <c:v>Professional development</c:v>
                </c:pt>
                <c:pt idx="14">
                  <c:v>Fund raising</c:v>
                </c:pt>
              </c:strCache>
            </c:strRef>
          </c:cat>
          <c:val>
            <c:numRef>
              <c:f>'annual time budget'!$H$8:$H$22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13</c:v>
                </c:pt>
                <c:pt idx="4">
                  <c:v>14</c:v>
                </c:pt>
                <c:pt idx="5">
                  <c:v>4</c:v>
                </c:pt>
                <c:pt idx="6">
                  <c:v>19</c:v>
                </c:pt>
                <c:pt idx="7">
                  <c:v>10</c:v>
                </c:pt>
                <c:pt idx="8">
                  <c:v>10</c:v>
                </c:pt>
                <c:pt idx="9">
                  <c:v>0</c:v>
                </c:pt>
                <c:pt idx="10">
                  <c:v>13</c:v>
                </c:pt>
                <c:pt idx="11">
                  <c:v>2</c:v>
                </c:pt>
                <c:pt idx="12">
                  <c:v>5</c:v>
                </c:pt>
                <c:pt idx="13">
                  <c:v>5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table!$F$55</c:f>
              <c:strCache>
                <c:ptCount val="1"/>
                <c:pt idx="0">
                  <c:v>return on effort</c:v>
                </c:pt>
              </c:strCache>
            </c:strRef>
          </c:tx>
          <c:spPr>
            <a:ln w="28575">
              <a:noFill/>
            </a:ln>
          </c:spPr>
          <c:dPt>
            <c:idx val="1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4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7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8"/>
            <c:marker>
              <c:spPr>
                <a:solidFill>
                  <a:schemeClr val="accent2"/>
                </a:solidFill>
              </c:spPr>
            </c:marker>
            <c:bubble3D val="0"/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table!$G$56:$X$56</c:f>
              <c:numCache>
                <c:formatCode>0.00</c:formatCode>
                <c:ptCount val="18"/>
                <c:pt idx="0">
                  <c:v>106.20000000000002</c:v>
                </c:pt>
                <c:pt idx="1">
                  <c:v>52.2</c:v>
                </c:pt>
                <c:pt idx="2">
                  <c:v>52.300000000000004</c:v>
                </c:pt>
                <c:pt idx="3">
                  <c:v>66.100000000000009</c:v>
                </c:pt>
                <c:pt idx="4">
                  <c:v>52.000000000000007</c:v>
                </c:pt>
                <c:pt idx="5">
                  <c:v>34.199999999999996</c:v>
                </c:pt>
                <c:pt idx="6">
                  <c:v>34.500000000000007</c:v>
                </c:pt>
                <c:pt idx="7">
                  <c:v>34.1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table!$G$55:$X$55</c:f>
              <c:numCache>
                <c:formatCode>0.00</c:formatCode>
                <c:ptCount val="18"/>
                <c:pt idx="0">
                  <c:v>4.7825489158869248</c:v>
                </c:pt>
                <c:pt idx="1">
                  <c:v>4.7256742892902635</c:v>
                </c:pt>
                <c:pt idx="2">
                  <c:v>4.1637721359674691</c:v>
                </c:pt>
                <c:pt idx="3">
                  <c:v>4.2079477520691899</c:v>
                </c:pt>
                <c:pt idx="4">
                  <c:v>4.5904127092922309</c:v>
                </c:pt>
                <c:pt idx="5">
                  <c:v>4.673998543275327</c:v>
                </c:pt>
                <c:pt idx="6">
                  <c:v>4.1149255514267651</c:v>
                </c:pt>
                <c:pt idx="7">
                  <c:v>4.543781475400996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77444240"/>
        <c:axId val="277444800"/>
      </c:scatterChart>
      <c:valAx>
        <c:axId val="277444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(weeks over 15 years)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277444800"/>
        <c:crosses val="autoZero"/>
        <c:crossBetween val="midCat"/>
      </c:valAx>
      <c:valAx>
        <c:axId val="2774448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Portfolio Total Benefit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77444240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0"/>
  <sheetViews>
    <sheetView zoomScale="107" workbookViewId="0" zoomToFit="1"/>
  </sheetViews>
  <pageMargins left="0.7" right="0.7" top="0.75" bottom="0.75" header="0.3" footer="0.3"/>
  <drawing r:id="rId1"/>
</chartsheet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85902</xdr:colOff>
      <xdr:row>4</xdr:row>
      <xdr:rowOff>59921</xdr:rowOff>
    </xdr:from>
    <xdr:to>
      <xdr:col>17</xdr:col>
      <xdr:colOff>90057</xdr:colOff>
      <xdr:row>25</xdr:row>
      <xdr:rowOff>166255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7</xdr:row>
          <xdr:rowOff>38100</xdr:rowOff>
        </xdr:from>
        <xdr:to>
          <xdr:col>5</xdr:col>
          <xdr:colOff>266700</xdr:colOff>
          <xdr:row>13</xdr:row>
          <xdr:rowOff>47625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0" tIns="45720" rIns="91440" bIns="4572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</a:rPr>
                <a:t>Capture Portfolio in Summary table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0421" cy="630252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="110" zoomScaleNormal="110" workbookViewId="0">
      <selection activeCell="I27" sqref="I27"/>
    </sheetView>
  </sheetViews>
  <sheetFormatPr defaultColWidth="9.140625" defaultRowHeight="15" x14ac:dyDescent="0.25"/>
  <cols>
    <col min="1" max="1" width="24.85546875" style="12" customWidth="1"/>
    <col min="2" max="2" width="12.7109375" style="12" hidden="1" customWidth="1"/>
    <col min="3" max="3" width="15.7109375" style="12" hidden="1" customWidth="1"/>
    <col min="4" max="7" width="8.85546875" style="12" hidden="1" customWidth="1"/>
    <col min="8" max="8" width="9.140625" style="12"/>
    <col min="9" max="9" width="15" style="12" customWidth="1"/>
    <col min="10" max="13" width="9.140625" style="12"/>
    <col min="14" max="14" width="24.28515625" style="12" customWidth="1"/>
    <col min="15" max="16" width="10.5703125" style="12" customWidth="1"/>
    <col min="17" max="19" width="10.5703125" style="12" bestFit="1" customWidth="1"/>
    <col min="20" max="16384" width="9.140625" style="12"/>
  </cols>
  <sheetData>
    <row r="1" spans="1:10" ht="14.45" x14ac:dyDescent="0.3">
      <c r="A1" s="17" t="s">
        <v>30</v>
      </c>
    </row>
    <row r="2" spans="1:10" ht="14.45" x14ac:dyDescent="0.3">
      <c r="A2" s="17" t="s">
        <v>31</v>
      </c>
    </row>
    <row r="3" spans="1:10" ht="14.45" x14ac:dyDescent="0.3">
      <c r="A3" s="17" t="s">
        <v>32</v>
      </c>
    </row>
    <row r="4" spans="1:10" ht="14.45" x14ac:dyDescent="0.3">
      <c r="A4" s="17"/>
    </row>
    <row r="5" spans="1:10" ht="14.45" x14ac:dyDescent="0.3">
      <c r="A5" s="18" t="s">
        <v>33</v>
      </c>
      <c r="B5" s="14"/>
      <c r="C5" s="14"/>
      <c r="D5" s="14"/>
      <c r="E5" s="14"/>
      <c r="F5" s="14"/>
      <c r="G5" s="14"/>
      <c r="H5" s="72">
        <f>SUM($J$8:$J$22)</f>
        <v>52.000000000000007</v>
      </c>
    </row>
    <row r="6" spans="1:10" ht="14.45" x14ac:dyDescent="0.3">
      <c r="A6" s="19" t="s">
        <v>34</v>
      </c>
      <c r="B6" s="13"/>
      <c r="C6" s="13"/>
      <c r="D6" s="13"/>
      <c r="E6" s="13"/>
      <c r="F6" s="13"/>
      <c r="G6" s="13"/>
      <c r="H6" s="73">
        <v>34.35</v>
      </c>
    </row>
    <row r="7" spans="1:10" thickBot="1" x14ac:dyDescent="0.35">
      <c r="A7" s="20" t="s">
        <v>27</v>
      </c>
      <c r="B7" s="21" t="s">
        <v>26</v>
      </c>
      <c r="C7" s="21" t="s">
        <v>25</v>
      </c>
      <c r="D7" s="21" t="s">
        <v>24</v>
      </c>
      <c r="E7" s="21" t="s">
        <v>23</v>
      </c>
      <c r="F7" s="21"/>
      <c r="G7" s="21"/>
      <c r="H7" s="21" t="s">
        <v>22</v>
      </c>
      <c r="I7" s="22" t="s">
        <v>35</v>
      </c>
      <c r="J7" s="23" t="s">
        <v>21</v>
      </c>
    </row>
    <row r="8" spans="1:10" ht="14.45" x14ac:dyDescent="0.3">
      <c r="A8" s="24" t="s">
        <v>20</v>
      </c>
      <c r="B8" s="25">
        <f t="shared" ref="B8:B22" si="0">SUM(C8/2080)</f>
        <v>0.2</v>
      </c>
      <c r="C8" s="25">
        <f t="shared" ref="C8:C22" si="1">SUM(E8*52)</f>
        <v>416</v>
      </c>
      <c r="D8" s="25">
        <f t="shared" ref="D8:D22" si="2">SUM(C8/40)</f>
        <v>10.4</v>
      </c>
      <c r="E8" s="25">
        <v>8</v>
      </c>
      <c r="F8" s="25"/>
      <c r="G8" s="25"/>
      <c r="H8" s="26">
        <v>0</v>
      </c>
      <c r="I8" s="25">
        <f t="shared" ref="I8:I22" si="3">J8*40</f>
        <v>0</v>
      </c>
      <c r="J8" s="27">
        <f>H8/100*52</f>
        <v>0</v>
      </c>
    </row>
    <row r="9" spans="1:10" ht="14.45" x14ac:dyDescent="0.3">
      <c r="A9" s="24" t="s">
        <v>19</v>
      </c>
      <c r="B9" s="25">
        <f t="shared" si="0"/>
        <v>0.05</v>
      </c>
      <c r="C9" s="25">
        <f t="shared" si="1"/>
        <v>104</v>
      </c>
      <c r="D9" s="25">
        <f t="shared" si="2"/>
        <v>2.6</v>
      </c>
      <c r="E9" s="25">
        <v>2</v>
      </c>
      <c r="F9" s="25"/>
      <c r="G9" s="25"/>
      <c r="H9" s="26">
        <v>4</v>
      </c>
      <c r="I9" s="25">
        <f t="shared" si="3"/>
        <v>83.2</v>
      </c>
      <c r="J9" s="27">
        <f t="shared" ref="J9:J22" si="4">H9/100*52</f>
        <v>2.08</v>
      </c>
    </row>
    <row r="10" spans="1:10" ht="14.45" x14ac:dyDescent="0.3">
      <c r="A10" s="24" t="s">
        <v>18</v>
      </c>
      <c r="B10" s="25">
        <f t="shared" si="0"/>
        <v>2.5000000000000001E-2</v>
      </c>
      <c r="C10" s="25">
        <f t="shared" si="1"/>
        <v>52</v>
      </c>
      <c r="D10" s="25">
        <f t="shared" si="2"/>
        <v>1.3</v>
      </c>
      <c r="E10" s="25">
        <v>1</v>
      </c>
      <c r="F10" s="25"/>
      <c r="G10" s="25"/>
      <c r="H10" s="120">
        <v>1</v>
      </c>
      <c r="I10" s="25">
        <f t="shared" si="3"/>
        <v>20.8</v>
      </c>
      <c r="J10" s="27">
        <f t="shared" si="4"/>
        <v>0.52</v>
      </c>
    </row>
    <row r="11" spans="1:10" ht="14.45" x14ac:dyDescent="0.3">
      <c r="A11" s="24" t="s">
        <v>17</v>
      </c>
      <c r="B11" s="25">
        <f t="shared" si="0"/>
        <v>0.15</v>
      </c>
      <c r="C11" s="25">
        <f t="shared" si="1"/>
        <v>312</v>
      </c>
      <c r="D11" s="25">
        <f t="shared" si="2"/>
        <v>7.8</v>
      </c>
      <c r="E11" s="25">
        <v>6</v>
      </c>
      <c r="F11" s="25"/>
      <c r="G11" s="25"/>
      <c r="H11" s="26">
        <v>13</v>
      </c>
      <c r="I11" s="25">
        <f t="shared" si="3"/>
        <v>270.39999999999998</v>
      </c>
      <c r="J11" s="27">
        <f t="shared" si="4"/>
        <v>6.76</v>
      </c>
    </row>
    <row r="12" spans="1:10" ht="14.45" x14ac:dyDescent="0.3">
      <c r="A12" s="24" t="s">
        <v>16</v>
      </c>
      <c r="B12" s="25">
        <f t="shared" si="0"/>
        <v>0.1</v>
      </c>
      <c r="C12" s="25">
        <f t="shared" si="1"/>
        <v>208</v>
      </c>
      <c r="D12" s="25">
        <f t="shared" si="2"/>
        <v>5.2</v>
      </c>
      <c r="E12" s="25">
        <v>4</v>
      </c>
      <c r="F12" s="25"/>
      <c r="G12" s="25"/>
      <c r="H12" s="26">
        <v>14</v>
      </c>
      <c r="I12" s="25">
        <f t="shared" si="3"/>
        <v>291.20000000000005</v>
      </c>
      <c r="J12" s="27">
        <f t="shared" si="4"/>
        <v>7.2800000000000011</v>
      </c>
    </row>
    <row r="13" spans="1:10" ht="14.45" x14ac:dyDescent="0.3">
      <c r="A13" s="24" t="s">
        <v>15</v>
      </c>
      <c r="B13" s="25">
        <f t="shared" si="0"/>
        <v>0.2</v>
      </c>
      <c r="C13" s="25">
        <f t="shared" si="1"/>
        <v>416</v>
      </c>
      <c r="D13" s="25">
        <f t="shared" si="2"/>
        <v>10.4</v>
      </c>
      <c r="E13" s="25">
        <v>8</v>
      </c>
      <c r="F13" s="25"/>
      <c r="G13" s="25"/>
      <c r="H13" s="120">
        <v>4</v>
      </c>
      <c r="I13" s="25">
        <f t="shared" si="3"/>
        <v>83.2</v>
      </c>
      <c r="J13" s="27">
        <f t="shared" si="4"/>
        <v>2.08</v>
      </c>
    </row>
    <row r="14" spans="1:10" ht="14.45" x14ac:dyDescent="0.3">
      <c r="A14" s="28" t="s">
        <v>14</v>
      </c>
      <c r="B14" s="25">
        <f t="shared" si="0"/>
        <v>0.2</v>
      </c>
      <c r="C14" s="25">
        <f t="shared" si="1"/>
        <v>416</v>
      </c>
      <c r="D14" s="25">
        <f t="shared" si="2"/>
        <v>10.4</v>
      </c>
      <c r="E14" s="25">
        <v>8</v>
      </c>
      <c r="F14" s="25"/>
      <c r="G14" s="25"/>
      <c r="H14" s="120">
        <v>19</v>
      </c>
      <c r="I14" s="29">
        <f t="shared" si="3"/>
        <v>395.20000000000005</v>
      </c>
      <c r="J14" s="30">
        <f t="shared" si="4"/>
        <v>9.8800000000000008</v>
      </c>
    </row>
    <row r="15" spans="1:10" ht="14.45" x14ac:dyDescent="0.3">
      <c r="A15" s="28" t="s">
        <v>13</v>
      </c>
      <c r="B15" s="25">
        <f t="shared" si="0"/>
        <v>0.1</v>
      </c>
      <c r="C15" s="25">
        <f t="shared" si="1"/>
        <v>208</v>
      </c>
      <c r="D15" s="25">
        <f t="shared" si="2"/>
        <v>5.2</v>
      </c>
      <c r="E15" s="25">
        <v>4</v>
      </c>
      <c r="F15" s="25"/>
      <c r="G15" s="25"/>
      <c r="H15" s="26">
        <v>10</v>
      </c>
      <c r="I15" s="29">
        <f t="shared" si="3"/>
        <v>208</v>
      </c>
      <c r="J15" s="30">
        <f t="shared" si="4"/>
        <v>5.2</v>
      </c>
    </row>
    <row r="16" spans="1:10" ht="14.45" x14ac:dyDescent="0.3">
      <c r="A16" s="28" t="s">
        <v>12</v>
      </c>
      <c r="B16" s="25">
        <f t="shared" si="0"/>
        <v>0.15</v>
      </c>
      <c r="C16" s="25">
        <f t="shared" si="1"/>
        <v>312</v>
      </c>
      <c r="D16" s="25">
        <f t="shared" si="2"/>
        <v>7.8</v>
      </c>
      <c r="E16" s="25">
        <v>6</v>
      </c>
      <c r="F16" s="25"/>
      <c r="G16" s="25"/>
      <c r="H16" s="26">
        <v>10</v>
      </c>
      <c r="I16" s="29">
        <f t="shared" si="3"/>
        <v>208</v>
      </c>
      <c r="J16" s="30">
        <f t="shared" si="4"/>
        <v>5.2</v>
      </c>
    </row>
    <row r="17" spans="1:10" ht="14.45" x14ac:dyDescent="0.3">
      <c r="A17" s="24" t="s">
        <v>11</v>
      </c>
      <c r="B17" s="25">
        <f t="shared" si="0"/>
        <v>1.2500000000000001E-2</v>
      </c>
      <c r="C17" s="25">
        <f t="shared" si="1"/>
        <v>26</v>
      </c>
      <c r="D17" s="25">
        <f t="shared" si="2"/>
        <v>0.65</v>
      </c>
      <c r="E17" s="25">
        <v>0.5</v>
      </c>
      <c r="F17" s="25"/>
      <c r="G17" s="25"/>
      <c r="H17" s="26">
        <v>0</v>
      </c>
      <c r="I17" s="25">
        <f t="shared" si="3"/>
        <v>0</v>
      </c>
      <c r="J17" s="27">
        <f t="shared" si="4"/>
        <v>0</v>
      </c>
    </row>
    <row r="18" spans="1:10" ht="14.45" x14ac:dyDescent="0.3">
      <c r="A18" s="24" t="s">
        <v>10</v>
      </c>
      <c r="B18" s="25">
        <f t="shared" si="0"/>
        <v>2.5000000000000001E-2</v>
      </c>
      <c r="C18" s="25">
        <f t="shared" si="1"/>
        <v>52</v>
      </c>
      <c r="D18" s="25">
        <f t="shared" si="2"/>
        <v>1.3</v>
      </c>
      <c r="E18" s="25">
        <v>1</v>
      </c>
      <c r="F18" s="25"/>
      <c r="G18" s="25"/>
      <c r="H18" s="26">
        <v>13</v>
      </c>
      <c r="I18" s="25">
        <f t="shared" si="3"/>
        <v>270.39999999999998</v>
      </c>
      <c r="J18" s="27">
        <f t="shared" si="4"/>
        <v>6.76</v>
      </c>
    </row>
    <row r="19" spans="1:10" ht="14.45" x14ac:dyDescent="0.3">
      <c r="A19" s="28" t="s">
        <v>9</v>
      </c>
      <c r="B19" s="25">
        <f t="shared" si="0"/>
        <v>2.5000000000000001E-2</v>
      </c>
      <c r="C19" s="25">
        <f t="shared" si="1"/>
        <v>52</v>
      </c>
      <c r="D19" s="25">
        <f t="shared" si="2"/>
        <v>1.3</v>
      </c>
      <c r="E19" s="25">
        <v>1</v>
      </c>
      <c r="F19" s="25"/>
      <c r="G19" s="25"/>
      <c r="H19" s="26">
        <v>2</v>
      </c>
      <c r="I19" s="29">
        <f t="shared" si="3"/>
        <v>41.6</v>
      </c>
      <c r="J19" s="30">
        <f t="shared" si="4"/>
        <v>1.04</v>
      </c>
    </row>
    <row r="20" spans="1:10" ht="14.45" x14ac:dyDescent="0.3">
      <c r="A20" s="28" t="s">
        <v>8</v>
      </c>
      <c r="B20" s="25">
        <f t="shared" si="0"/>
        <v>2.5000000000000001E-2</v>
      </c>
      <c r="C20" s="25">
        <f t="shared" si="1"/>
        <v>52</v>
      </c>
      <c r="D20" s="25">
        <f t="shared" si="2"/>
        <v>1.3</v>
      </c>
      <c r="E20" s="25">
        <v>1</v>
      </c>
      <c r="F20" s="25"/>
      <c r="G20" s="25"/>
      <c r="H20" s="26">
        <v>5</v>
      </c>
      <c r="I20" s="29">
        <f t="shared" si="3"/>
        <v>104</v>
      </c>
      <c r="J20" s="30">
        <f t="shared" si="4"/>
        <v>2.6</v>
      </c>
    </row>
    <row r="21" spans="1:10" ht="14.45" x14ac:dyDescent="0.3">
      <c r="A21" s="24" t="s">
        <v>7</v>
      </c>
      <c r="B21" s="25">
        <f t="shared" si="0"/>
        <v>2.5000000000000001E-2</v>
      </c>
      <c r="C21" s="25">
        <f t="shared" si="1"/>
        <v>52</v>
      </c>
      <c r="D21" s="25">
        <f t="shared" si="2"/>
        <v>1.3</v>
      </c>
      <c r="E21" s="25">
        <v>1</v>
      </c>
      <c r="F21" s="25"/>
      <c r="G21" s="25"/>
      <c r="H21" s="26">
        <v>5</v>
      </c>
      <c r="I21" s="25">
        <f t="shared" si="3"/>
        <v>104</v>
      </c>
      <c r="J21" s="27">
        <f t="shared" si="4"/>
        <v>2.6</v>
      </c>
    </row>
    <row r="22" spans="1:10" ht="14.45" x14ac:dyDescent="0.3">
      <c r="A22" s="31" t="s">
        <v>6</v>
      </c>
      <c r="B22" s="32">
        <f t="shared" si="0"/>
        <v>1.2500000000000001E-2</v>
      </c>
      <c r="C22" s="32">
        <f t="shared" si="1"/>
        <v>26</v>
      </c>
      <c r="D22" s="32">
        <f t="shared" si="2"/>
        <v>0.65</v>
      </c>
      <c r="E22" s="32">
        <v>0.5</v>
      </c>
      <c r="F22" s="32"/>
      <c r="G22" s="32"/>
      <c r="H22" s="121">
        <v>0</v>
      </c>
      <c r="I22" s="32">
        <f t="shared" si="3"/>
        <v>0</v>
      </c>
      <c r="J22" s="33">
        <f t="shared" si="4"/>
        <v>0</v>
      </c>
    </row>
    <row r="23" spans="1:10" ht="14.45" x14ac:dyDescent="0.3">
      <c r="B23" s="12">
        <f>SUM(B8:B22)</f>
        <v>1.2999999999999996</v>
      </c>
      <c r="C23" s="12">
        <f>SUM(C8:C22)</f>
        <v>2704</v>
      </c>
      <c r="D23" s="12">
        <f>SUM(D8:D22)</f>
        <v>67.599999999999994</v>
      </c>
      <c r="E23" s="12">
        <f>SUM(E8:E22)</f>
        <v>52</v>
      </c>
      <c r="H23" s="12">
        <f>SUM(H8:H22)</f>
        <v>100</v>
      </c>
    </row>
    <row r="29" spans="1:10" x14ac:dyDescent="0.25">
      <c r="A29" s="125" t="s">
        <v>144</v>
      </c>
      <c r="H29" s="12">
        <v>23.92</v>
      </c>
    </row>
    <row r="30" spans="1:10" x14ac:dyDescent="0.25">
      <c r="A30" s="125" t="s">
        <v>145</v>
      </c>
      <c r="H30" s="12">
        <v>10.43</v>
      </c>
      <c r="I30" s="12">
        <f>SUM(H29:H30)</f>
        <v>34.35</v>
      </c>
    </row>
    <row r="31" spans="1:10" x14ac:dyDescent="0.25">
      <c r="A31" s="125" t="s">
        <v>146</v>
      </c>
      <c r="H31" s="12">
        <v>11.99</v>
      </c>
      <c r="I31" s="12">
        <f>SUM(H29:H31)</f>
        <v>46.34</v>
      </c>
    </row>
    <row r="32" spans="1:10" x14ac:dyDescent="0.25">
      <c r="A32" s="125" t="s">
        <v>147</v>
      </c>
      <c r="H32" s="12">
        <v>6.4</v>
      </c>
      <c r="I32" s="12">
        <f>SUM(H29:H32)</f>
        <v>52.74</v>
      </c>
    </row>
  </sheetData>
  <conditionalFormatting sqref="H5">
    <cfRule type="cellIs" dxfId="1" priority="1" operator="greaterThan">
      <formula>52</formula>
    </cfRule>
    <cfRule type="cellIs" dxfId="0" priority="2" operator="greaterThan">
      <formula>52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M15" sqref="M15"/>
    </sheetView>
  </sheetViews>
  <sheetFormatPr defaultRowHeight="15" x14ac:dyDescent="0.25"/>
  <cols>
    <col min="1" max="1" width="49.28515625" style="118" customWidth="1"/>
    <col min="2" max="2" width="8.85546875" customWidth="1"/>
    <col min="3" max="3" width="21.28515625" style="75" customWidth="1"/>
    <col min="4" max="4" width="11.140625" style="75" hidden="1" customWidth="1"/>
    <col min="5" max="6" width="0" hidden="1" customWidth="1"/>
    <col min="7" max="7" width="9.5703125" hidden="1" customWidth="1"/>
    <col min="8" max="10" width="0" hidden="1" customWidth="1"/>
  </cols>
  <sheetData>
    <row r="1" spans="1:9" ht="15.75" thickBot="1" x14ac:dyDescent="0.3">
      <c r="A1" s="117" t="s">
        <v>29</v>
      </c>
      <c r="B1" s="76" t="s">
        <v>85</v>
      </c>
      <c r="C1" s="77" t="s">
        <v>104</v>
      </c>
      <c r="D1" s="77" t="s">
        <v>86</v>
      </c>
      <c r="E1" s="76" t="s">
        <v>87</v>
      </c>
      <c r="F1" s="76" t="s">
        <v>88</v>
      </c>
    </row>
    <row r="2" spans="1:9" x14ac:dyDescent="0.25">
      <c r="A2" s="36" t="s">
        <v>105</v>
      </c>
      <c r="B2" s="119">
        <v>1</v>
      </c>
      <c r="C2" s="124">
        <v>0.78679906542056088</v>
      </c>
      <c r="D2" s="74" t="s">
        <v>5</v>
      </c>
      <c r="E2" s="16" t="s">
        <v>37</v>
      </c>
      <c r="F2" s="83">
        <v>1</v>
      </c>
      <c r="G2" s="67" t="s">
        <v>95</v>
      </c>
      <c r="H2" s="67" t="s">
        <v>94</v>
      </c>
      <c r="I2" s="68" t="s">
        <v>88</v>
      </c>
    </row>
    <row r="3" spans="1:9" x14ac:dyDescent="0.25">
      <c r="A3" s="36" t="s">
        <v>106</v>
      </c>
      <c r="B3" s="119">
        <v>2</v>
      </c>
      <c r="C3" s="124">
        <v>0.75759345794392541</v>
      </c>
      <c r="D3" s="74">
        <f>((C2-C3)/C2)*100</f>
        <v>3.7119524870081606</v>
      </c>
      <c r="E3" s="16" t="s">
        <v>38</v>
      </c>
      <c r="F3" s="83">
        <v>1</v>
      </c>
      <c r="G3" s="69">
        <f>_xlfn.PERCENTILE.EXC(C3:C27,0.9)</f>
        <v>0.7494158878504672</v>
      </c>
      <c r="H3" s="69" t="s">
        <v>89</v>
      </c>
      <c r="I3" s="78">
        <v>1</v>
      </c>
    </row>
    <row r="4" spans="1:9" x14ac:dyDescent="0.25">
      <c r="A4" s="122" t="s">
        <v>107</v>
      </c>
      <c r="B4" s="119">
        <v>3</v>
      </c>
      <c r="C4" s="124">
        <v>0.75175233644859807</v>
      </c>
      <c r="D4" s="74">
        <f t="shared" ref="D4:D26" si="0">((C3-C4)/C3)*100</f>
        <v>0.77101002313033173</v>
      </c>
      <c r="E4" s="16" t="s">
        <v>39</v>
      </c>
      <c r="F4" s="16">
        <v>2</v>
      </c>
      <c r="G4" s="69">
        <f>_xlfn.PERCENTILE.EXC(C4:C28,0.8)</f>
        <v>0.67083333333333328</v>
      </c>
      <c r="H4" s="69" t="s">
        <v>90</v>
      </c>
      <c r="I4" s="82">
        <v>2</v>
      </c>
    </row>
    <row r="5" spans="1:9" x14ac:dyDescent="0.25">
      <c r="A5" s="123" t="s">
        <v>108</v>
      </c>
      <c r="B5" s="119">
        <v>4</v>
      </c>
      <c r="C5" s="124">
        <v>0.74785825545171336</v>
      </c>
      <c r="D5" s="74">
        <f t="shared" si="0"/>
        <v>0.51800051800051439</v>
      </c>
      <c r="E5" s="16" t="s">
        <v>40</v>
      </c>
      <c r="F5" s="16">
        <v>2</v>
      </c>
      <c r="G5" s="69">
        <f>_xlfn.PERCENTILE.EXC(C5:C29,0.7)</f>
        <v>0.64388629283489096</v>
      </c>
      <c r="H5" s="69" t="s">
        <v>91</v>
      </c>
      <c r="I5" s="79">
        <v>3</v>
      </c>
    </row>
    <row r="6" spans="1:9" x14ac:dyDescent="0.25">
      <c r="A6" s="123" t="s">
        <v>109</v>
      </c>
      <c r="B6" s="119">
        <v>5</v>
      </c>
      <c r="C6" s="124">
        <v>0.67873831775700921</v>
      </c>
      <c r="D6" s="74">
        <f t="shared" si="0"/>
        <v>9.2423847956261529</v>
      </c>
      <c r="E6" s="16" t="s">
        <v>40</v>
      </c>
      <c r="F6" s="16">
        <v>2</v>
      </c>
      <c r="G6" s="69">
        <f>_xlfn.PERCENTILE.EXC(C6:C30,0.5)</f>
        <v>0.53271028037383183</v>
      </c>
      <c r="H6" s="69" t="s">
        <v>92</v>
      </c>
      <c r="I6" s="80">
        <v>4</v>
      </c>
    </row>
    <row r="7" spans="1:9" x14ac:dyDescent="0.25">
      <c r="A7" s="123" t="s">
        <v>110</v>
      </c>
      <c r="B7" s="119">
        <v>6</v>
      </c>
      <c r="C7" s="124">
        <v>0.67387071651090324</v>
      </c>
      <c r="D7" s="74">
        <f t="shared" si="0"/>
        <v>0.71715433161217035</v>
      </c>
      <c r="E7" s="16" t="s">
        <v>40</v>
      </c>
      <c r="F7" s="16">
        <v>3</v>
      </c>
      <c r="G7" s="71"/>
      <c r="H7" s="71" t="s">
        <v>93</v>
      </c>
      <c r="I7" s="81">
        <v>5</v>
      </c>
    </row>
    <row r="8" spans="1:9" x14ac:dyDescent="0.25">
      <c r="A8" s="123" t="s">
        <v>111</v>
      </c>
      <c r="B8" s="119">
        <v>7</v>
      </c>
      <c r="C8" s="124">
        <v>0.67153426791277249</v>
      </c>
      <c r="D8" s="74">
        <f t="shared" si="0"/>
        <v>0.34672060098236279</v>
      </c>
      <c r="E8" s="16" t="s">
        <v>40</v>
      </c>
      <c r="F8" s="16">
        <v>3</v>
      </c>
    </row>
    <row r="9" spans="1:9" x14ac:dyDescent="0.25">
      <c r="A9" s="123" t="s">
        <v>112</v>
      </c>
      <c r="B9" s="119">
        <v>8</v>
      </c>
      <c r="C9" s="124">
        <v>0.66802959501557624</v>
      </c>
      <c r="D9" s="74">
        <f t="shared" si="0"/>
        <v>0.52189040301536482</v>
      </c>
      <c r="E9" s="16" t="s">
        <v>40</v>
      </c>
      <c r="F9" s="16">
        <v>3</v>
      </c>
    </row>
    <row r="10" spans="1:9" x14ac:dyDescent="0.25">
      <c r="A10" s="123" t="s">
        <v>113</v>
      </c>
      <c r="B10" s="119">
        <v>9</v>
      </c>
      <c r="C10" s="124">
        <v>0.66802959501557624</v>
      </c>
      <c r="D10" s="74">
        <f t="shared" si="0"/>
        <v>0</v>
      </c>
      <c r="E10" s="16" t="s">
        <v>40</v>
      </c>
      <c r="F10" s="16">
        <v>3</v>
      </c>
    </row>
    <row r="11" spans="1:9" x14ac:dyDescent="0.25">
      <c r="A11" s="123" t="s">
        <v>114</v>
      </c>
      <c r="B11" s="119">
        <v>10</v>
      </c>
      <c r="C11" s="124">
        <v>0.6485591900311527</v>
      </c>
      <c r="D11" s="74">
        <f t="shared" si="0"/>
        <v>2.914602156805576</v>
      </c>
      <c r="E11" s="16" t="s">
        <v>40</v>
      </c>
      <c r="F11" s="16">
        <v>3</v>
      </c>
    </row>
    <row r="12" spans="1:9" x14ac:dyDescent="0.25">
      <c r="A12" s="123" t="s">
        <v>115</v>
      </c>
      <c r="B12" s="119">
        <v>11</v>
      </c>
      <c r="C12" s="124">
        <v>0.64271806853582558</v>
      </c>
      <c r="D12" s="74">
        <f t="shared" si="0"/>
        <v>0.90063044130891845</v>
      </c>
      <c r="E12" s="16" t="s">
        <v>40</v>
      </c>
      <c r="F12" s="16">
        <v>4</v>
      </c>
    </row>
    <row r="13" spans="1:9" x14ac:dyDescent="0.25">
      <c r="A13" s="123" t="s">
        <v>116</v>
      </c>
      <c r="B13" s="119">
        <v>12</v>
      </c>
      <c r="C13" s="124">
        <v>0.61643302180685366</v>
      </c>
      <c r="D13" s="74">
        <f t="shared" si="0"/>
        <v>4.0896697970311955</v>
      </c>
      <c r="E13" s="16" t="s">
        <v>41</v>
      </c>
      <c r="F13" s="16">
        <v>4</v>
      </c>
    </row>
    <row r="14" spans="1:9" x14ac:dyDescent="0.25">
      <c r="A14" s="123" t="s">
        <v>117</v>
      </c>
      <c r="B14" s="119">
        <v>13</v>
      </c>
      <c r="C14" s="124">
        <v>0.58430685358255452</v>
      </c>
      <c r="D14" s="74">
        <f t="shared" si="0"/>
        <v>5.2116234996841566</v>
      </c>
      <c r="E14" s="16" t="s">
        <v>41</v>
      </c>
      <c r="F14" s="16">
        <v>4</v>
      </c>
    </row>
    <row r="15" spans="1:9" x14ac:dyDescent="0.25">
      <c r="A15" s="123" t="s">
        <v>118</v>
      </c>
      <c r="B15" s="119">
        <v>14</v>
      </c>
      <c r="C15" s="124">
        <v>0.57165109034267914</v>
      </c>
      <c r="D15" s="74">
        <f t="shared" si="0"/>
        <v>2.165944685104964</v>
      </c>
      <c r="E15" s="16" t="s">
        <v>42</v>
      </c>
      <c r="F15" s="16">
        <v>4</v>
      </c>
    </row>
    <row r="16" spans="1:9" x14ac:dyDescent="0.25">
      <c r="A16" s="123" t="s">
        <v>119</v>
      </c>
      <c r="B16" s="119">
        <v>15</v>
      </c>
      <c r="C16" s="124">
        <v>0.55315420560747675</v>
      </c>
      <c r="D16" s="74">
        <f t="shared" si="0"/>
        <v>3.2356948228882652</v>
      </c>
      <c r="E16" s="16" t="s">
        <v>42</v>
      </c>
      <c r="F16" s="16">
        <v>4</v>
      </c>
    </row>
    <row r="17" spans="1:6" x14ac:dyDescent="0.25">
      <c r="A17" s="123" t="s">
        <v>120</v>
      </c>
      <c r="B17" s="119">
        <v>16</v>
      </c>
      <c r="C17" s="124">
        <v>0.54809190031152666</v>
      </c>
      <c r="D17" s="74">
        <f t="shared" si="0"/>
        <v>0.91517071453712218</v>
      </c>
      <c r="E17" s="16" t="s">
        <v>42</v>
      </c>
      <c r="F17" s="16">
        <v>5</v>
      </c>
    </row>
    <row r="18" spans="1:6" x14ac:dyDescent="0.25">
      <c r="A18" s="123" t="s">
        <v>121</v>
      </c>
      <c r="B18" s="119">
        <v>17</v>
      </c>
      <c r="C18" s="124">
        <v>0.53271028037383183</v>
      </c>
      <c r="D18" s="74">
        <f t="shared" si="0"/>
        <v>2.806394316163431</v>
      </c>
      <c r="E18" s="16" t="s">
        <v>42</v>
      </c>
      <c r="F18" s="16">
        <v>5</v>
      </c>
    </row>
    <row r="19" spans="1:6" x14ac:dyDescent="0.25">
      <c r="A19" s="123" t="s">
        <v>122</v>
      </c>
      <c r="B19" s="119">
        <v>18</v>
      </c>
      <c r="C19" s="124">
        <v>0.5025311526479751</v>
      </c>
      <c r="D19" s="74">
        <f t="shared" si="0"/>
        <v>5.6652046783625796</v>
      </c>
      <c r="E19" s="16" t="s">
        <v>42</v>
      </c>
      <c r="F19" s="16">
        <v>5</v>
      </c>
    </row>
    <row r="20" spans="1:6" x14ac:dyDescent="0.25">
      <c r="A20" s="123" t="s">
        <v>123</v>
      </c>
      <c r="B20" s="119">
        <v>19</v>
      </c>
      <c r="C20" s="124">
        <v>0.4830607476635515</v>
      </c>
      <c r="D20" s="74">
        <f t="shared" si="0"/>
        <v>3.8744672607516302</v>
      </c>
      <c r="E20" s="16" t="s">
        <v>42</v>
      </c>
      <c r="F20" s="16">
        <v>5</v>
      </c>
    </row>
    <row r="21" spans="1:6" x14ac:dyDescent="0.25">
      <c r="A21" s="123" t="s">
        <v>124</v>
      </c>
      <c r="B21" s="119">
        <v>20</v>
      </c>
      <c r="C21" s="124">
        <v>0.4635903426791278</v>
      </c>
      <c r="D21" s="74">
        <f t="shared" si="0"/>
        <v>4.0306328093510739</v>
      </c>
      <c r="E21" s="16" t="s">
        <v>43</v>
      </c>
      <c r="F21" s="16">
        <v>5</v>
      </c>
    </row>
    <row r="22" spans="1:6" x14ac:dyDescent="0.25">
      <c r="A22" s="123" t="s">
        <v>125</v>
      </c>
      <c r="B22" s="119">
        <v>21</v>
      </c>
      <c r="C22" s="124">
        <v>0.44509345794392535</v>
      </c>
      <c r="D22" s="74">
        <f t="shared" si="0"/>
        <v>3.9899202015959574</v>
      </c>
      <c r="E22" s="16" t="s">
        <v>44</v>
      </c>
      <c r="F22" s="16">
        <v>5</v>
      </c>
    </row>
    <row r="23" spans="1:6" x14ac:dyDescent="0.25">
      <c r="A23" s="123" t="s">
        <v>126</v>
      </c>
      <c r="B23" s="119">
        <v>22</v>
      </c>
      <c r="C23" s="124">
        <v>0.4450934579439253</v>
      </c>
      <c r="D23" s="74">
        <f t="shared" si="0"/>
        <v>1.2471796707075246E-14</v>
      </c>
      <c r="E23" s="16" t="s">
        <v>45</v>
      </c>
      <c r="F23" s="16">
        <v>5</v>
      </c>
    </row>
    <row r="24" spans="1:6" x14ac:dyDescent="0.25">
      <c r="A24" s="123" t="s">
        <v>127</v>
      </c>
      <c r="B24" s="119">
        <v>23</v>
      </c>
      <c r="C24" s="124">
        <v>0.42426012461059193</v>
      </c>
      <c r="D24" s="74">
        <f t="shared" si="0"/>
        <v>4.6806649168853971</v>
      </c>
      <c r="E24" s="16" t="s">
        <v>45</v>
      </c>
      <c r="F24" s="16">
        <v>5</v>
      </c>
    </row>
    <row r="25" spans="1:6" x14ac:dyDescent="0.25">
      <c r="A25" s="123" t="s">
        <v>128</v>
      </c>
      <c r="B25" s="119">
        <v>24</v>
      </c>
      <c r="C25" s="124">
        <v>0.41900311526479761</v>
      </c>
      <c r="D25" s="74">
        <f t="shared" si="0"/>
        <v>1.2391005048187063</v>
      </c>
      <c r="E25" s="16" t="s">
        <v>46</v>
      </c>
      <c r="F25" s="16">
        <v>5</v>
      </c>
    </row>
    <row r="26" spans="1:6" x14ac:dyDescent="0.25">
      <c r="A26" s="123" t="s">
        <v>129</v>
      </c>
      <c r="B26" s="119">
        <v>25</v>
      </c>
      <c r="C26" s="124">
        <v>0.35845015576323991</v>
      </c>
      <c r="D26" s="74">
        <f t="shared" si="0"/>
        <v>14.451672862453544</v>
      </c>
      <c r="E26" s="16" t="s">
        <v>46</v>
      </c>
      <c r="F26" s="16">
        <v>5</v>
      </c>
    </row>
    <row r="27" spans="1:6" x14ac:dyDescent="0.25">
      <c r="A27" s="123" t="s">
        <v>130</v>
      </c>
      <c r="B27" s="119">
        <v>26</v>
      </c>
      <c r="C27" s="124">
        <v>0.35552959501557635</v>
      </c>
      <c r="D27" s="74">
        <f t="shared" ref="D27:D30" si="1">((C26-C27)/C26)*100</f>
        <v>0.8147745790331361</v>
      </c>
      <c r="E27" s="16" t="s">
        <v>46</v>
      </c>
      <c r="F27" s="16">
        <v>6</v>
      </c>
    </row>
    <row r="28" spans="1:6" x14ac:dyDescent="0.25">
      <c r="A28" s="123" t="s">
        <v>131</v>
      </c>
      <c r="B28" s="119">
        <v>27</v>
      </c>
      <c r="C28" s="124">
        <v>0.32340342679127726</v>
      </c>
      <c r="D28" s="74">
        <f t="shared" si="1"/>
        <v>9.0361445783132606</v>
      </c>
      <c r="E28" s="16" t="s">
        <v>46</v>
      </c>
      <c r="F28" s="16">
        <v>7</v>
      </c>
    </row>
    <row r="29" spans="1:6" x14ac:dyDescent="0.25">
      <c r="A29" s="123" t="s">
        <v>132</v>
      </c>
      <c r="B29" s="119">
        <v>28</v>
      </c>
      <c r="C29" s="124">
        <v>0.30977414330218073</v>
      </c>
      <c r="D29" s="74">
        <f t="shared" si="1"/>
        <v>4.2143287176399635</v>
      </c>
      <c r="E29" s="16" t="s">
        <v>46</v>
      </c>
      <c r="F29" s="16">
        <v>8</v>
      </c>
    </row>
    <row r="30" spans="1:6" x14ac:dyDescent="0.25">
      <c r="A30" s="123" t="s">
        <v>133</v>
      </c>
      <c r="B30" s="119">
        <v>29</v>
      </c>
      <c r="C30" s="124">
        <v>0.26499221183800625</v>
      </c>
      <c r="D30" s="74">
        <f t="shared" si="1"/>
        <v>14.456316781898181</v>
      </c>
      <c r="E30" s="16" t="s">
        <v>46</v>
      </c>
      <c r="F30" s="16">
        <v>9</v>
      </c>
    </row>
  </sheetData>
  <sortState ref="A2:C30">
    <sortCondition ref="B2:B30"/>
  </sortState>
  <pageMargins left="0.7" right="0.7" top="0.75" bottom="0.75" header="0.3" footer="0.3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workbookViewId="0">
      <selection activeCell="C3" sqref="C3"/>
    </sheetView>
  </sheetViews>
  <sheetFormatPr defaultRowHeight="15" x14ac:dyDescent="0.25"/>
  <cols>
    <col min="1" max="1" width="49.28515625" customWidth="1"/>
    <col min="2" max="2" width="12" style="75" customWidth="1"/>
    <col min="3" max="3" width="18.140625" style="39" customWidth="1"/>
  </cols>
  <sheetData>
    <row r="1" spans="1:3" thickBot="1" x14ac:dyDescent="0.35">
      <c r="A1" s="76" t="s">
        <v>29</v>
      </c>
      <c r="B1" s="77" t="s">
        <v>1</v>
      </c>
      <c r="C1" s="39" t="s">
        <v>96</v>
      </c>
    </row>
    <row r="2" spans="1:3" ht="14.45" x14ac:dyDescent="0.3">
      <c r="A2" s="116" t="str">
        <f>'survey priority'!A2</f>
        <v>NPAM</v>
      </c>
      <c r="B2" s="74">
        <f>VLOOKUP(A2,'survey priority'!$A$2:$F$30,3,TRUE)</f>
        <v>0.78679906542056088</v>
      </c>
      <c r="C2" s="84">
        <f>B2/VLOOKUP(A2,'Survey Time'!$A$2:$C$30,3,TRUE)</f>
        <v>5.2453271028037395E-2</v>
      </c>
    </row>
    <row r="3" spans="1:3" ht="14.45" x14ac:dyDescent="0.3">
      <c r="A3" s="116" t="str">
        <f>'survey priority'!A3</f>
        <v>Remnant Prairie Inventory</v>
      </c>
      <c r="B3" s="74">
        <f>VLOOKUP(A3,'survey priority'!$A$2:$F$30,3,TRUE)</f>
        <v>0.61643302180685366</v>
      </c>
      <c r="C3" s="84">
        <f>B3/VLOOKUP(A3,'Survey Time'!$A$2:$C$30,3,TRUE)</f>
        <v>4.1095534787123578E-2</v>
      </c>
    </row>
    <row r="4" spans="1:3" ht="14.45" x14ac:dyDescent="0.3">
      <c r="A4" s="116" t="str">
        <f>'survey priority'!A4</f>
        <v>Thistle Study</v>
      </c>
      <c r="B4" s="74">
        <f>VLOOKUP(A4,'survey priority'!$A$2:$F$30,3,TRUE)</f>
        <v>0.61643302180685366</v>
      </c>
      <c r="C4" s="84">
        <f>B4/VLOOKUP(A4,'Survey Time'!$A$2:$C$30,3,TRUE)</f>
        <v>4.1095534787123578E-2</v>
      </c>
    </row>
    <row r="5" spans="1:3" ht="14.45" x14ac:dyDescent="0.3">
      <c r="A5" s="116" t="str">
        <f>'survey priority'!A5</f>
        <v>GMT</v>
      </c>
      <c r="B5" s="74" t="e">
        <f>VLOOKUP(A5,'survey priority'!$A$2:$F$30,3,TRUE)</f>
        <v>#N/A</v>
      </c>
      <c r="C5" s="84" t="e">
        <f>B5/VLOOKUP(A5,'Survey Time'!$A$2:$C$30,3,TRUE)</f>
        <v>#N/A</v>
      </c>
    </row>
    <row r="6" spans="1:3" ht="14.45" x14ac:dyDescent="0.3">
      <c r="A6" s="116" t="str">
        <f>'survey priority'!A6</f>
        <v>Sediment</v>
      </c>
      <c r="B6" s="74">
        <f>VLOOKUP(A6,'survey priority'!$A$2:$F$30,3,TRUE)</f>
        <v>0.61643302180685366</v>
      </c>
      <c r="C6" s="84">
        <f>B6/VLOOKUP(A6,'Survey Time'!$A$2:$C$30,3,TRUE)</f>
        <v>4.1095534787123578E-2</v>
      </c>
    </row>
    <row r="7" spans="1:3" ht="14.45" x14ac:dyDescent="0.3">
      <c r="A7" s="116" t="str">
        <f>'survey priority'!A7</f>
        <v>Prairie Reconstruction</v>
      </c>
      <c r="B7" s="74">
        <f>VLOOKUP(A7,'survey priority'!$A$2:$F$30,3,TRUE)</f>
        <v>0.61643302180685366</v>
      </c>
      <c r="C7" s="84">
        <f>B7/VLOOKUP(A7,'Survey Time'!$A$2:$C$30,3,TRUE)</f>
        <v>4.1095534787123578E-2</v>
      </c>
    </row>
    <row r="8" spans="1:3" ht="14.45" x14ac:dyDescent="0.3">
      <c r="A8" s="116" t="str">
        <f>'survey priority'!A8</f>
        <v>Prairie Butterflies</v>
      </c>
      <c r="B8" s="74">
        <f>VLOOKUP(A8,'survey priority'!$A$2:$F$30,3,TRUE)</f>
        <v>0.67153426791277249</v>
      </c>
      <c r="C8" s="84">
        <f>B8/VLOOKUP(A8,'Survey Time'!$A$2:$C$30,3,TRUE)</f>
        <v>0.22384475597092415</v>
      </c>
    </row>
    <row r="9" spans="1:3" ht="14.45" x14ac:dyDescent="0.3">
      <c r="A9" s="116" t="str">
        <f>'survey priority'!A9</f>
        <v>Wetland Condition Assessment</v>
      </c>
      <c r="B9" s="74">
        <f>VLOOKUP(A9,'survey priority'!$A$2:$F$30,3,TRUE)</f>
        <v>0.61643302180685366</v>
      </c>
      <c r="C9" s="84">
        <f>B9/VLOOKUP(A9,'Survey Time'!$A$2:$C$30,3,TRUE)</f>
        <v>4.1095534787123578E-2</v>
      </c>
    </row>
    <row r="10" spans="1:3" ht="14.45" x14ac:dyDescent="0.3">
      <c r="A10" s="116" t="str">
        <f>'survey priority'!A10</f>
        <v>Grassland Bird Inventory</v>
      </c>
      <c r="B10" s="74" t="e">
        <f>VLOOKUP(A10,'survey priority'!$A$2:$F$30,3,TRUE)</f>
        <v>#N/A</v>
      </c>
      <c r="C10" s="84" t="e">
        <f>B10/VLOOKUP(A10,'Survey Time'!$A$2:$C$30,3,TRUE)</f>
        <v>#N/A</v>
      </c>
    </row>
    <row r="11" spans="1:3" ht="14.45" x14ac:dyDescent="0.3">
      <c r="A11" s="116" t="str">
        <f>'survey priority'!A11</f>
        <v>Invasive Species</v>
      </c>
      <c r="B11" s="74" t="e">
        <f>VLOOKUP(A11,'survey priority'!$A$2:$F$30,3,TRUE)</f>
        <v>#N/A</v>
      </c>
      <c r="C11" s="84" t="e">
        <f>B11/VLOOKUP(A11,'Survey Time'!$A$2:$C$30,3,TRUE)</f>
        <v>#N/A</v>
      </c>
    </row>
    <row r="12" spans="1:3" ht="14.45" x14ac:dyDescent="0.3">
      <c r="A12" s="116" t="str">
        <f>'survey priority'!A12</f>
        <v>FSM</v>
      </c>
      <c r="B12" s="74" t="e">
        <f>VLOOKUP(A12,'survey priority'!$A$2:$F$30,3,TRUE)</f>
        <v>#N/A</v>
      </c>
      <c r="C12" s="84" t="e">
        <f>B12/VLOOKUP(A12,'Survey Time'!$A$2:$C$30,3,TRUE)</f>
        <v>#N/A</v>
      </c>
    </row>
    <row r="13" spans="1:3" ht="14.45" x14ac:dyDescent="0.3">
      <c r="A13" s="116" t="str">
        <f>'survey priority'!A13</f>
        <v>Grazing Rapid Assessment</v>
      </c>
      <c r="B13" s="74" t="e">
        <f>VLOOKUP(A13,'survey priority'!$A$2:$F$30,3,TRUE)</f>
        <v>#N/A</v>
      </c>
      <c r="C13" s="84" t="e">
        <f>B13/VLOOKUP(A13,'Survey Time'!$A$2:$C$30,3,TRUE)</f>
        <v>#N/A</v>
      </c>
    </row>
    <row r="14" spans="1:3" ht="14.45" x14ac:dyDescent="0.3">
      <c r="A14" s="116" t="str">
        <f>'survey priority'!A14</f>
        <v>Wetland Veg Monitoring</v>
      </c>
      <c r="B14" s="74">
        <f>VLOOKUP(A14,'survey priority'!$A$2:$F$30,3,TRUE)</f>
        <v>0.26499221183800625</v>
      </c>
      <c r="C14" s="84">
        <f>B14/VLOOKUP(A14,'Survey Time'!$A$2:$C$30,3,TRUE)</f>
        <v>1.7666147455867084E-2</v>
      </c>
    </row>
    <row r="15" spans="1:3" ht="14.45" x14ac:dyDescent="0.3">
      <c r="A15" s="116" t="str">
        <f>'survey priority'!A15</f>
        <v>Glacial Lake Overspray</v>
      </c>
      <c r="B15" s="74" t="e">
        <f>VLOOKUP(A15,'survey priority'!$A$2:$F$30,3,TRUE)</f>
        <v>#N/A</v>
      </c>
      <c r="C15" s="84" t="e">
        <f>B15/VLOOKUP(A15,'Survey Time'!$A$2:$C$30,3,TRUE)</f>
        <v>#N/A</v>
      </c>
    </row>
    <row r="16" spans="1:3" ht="14.45" x14ac:dyDescent="0.3">
      <c r="A16" s="116" t="str">
        <f>'survey priority'!A16</f>
        <v>Wetland Resources Long-Term</v>
      </c>
      <c r="B16" s="74">
        <f>VLOOKUP(A16,'survey priority'!$A$2:$F$30,3,TRUE)</f>
        <v>0.55315420560747675</v>
      </c>
      <c r="C16" s="84">
        <f>B16/VLOOKUP(A16,'Survey Time'!$A$2:$C$30,3,TRUE)</f>
        <v>3.6876947040498452E-2</v>
      </c>
    </row>
    <row r="17" spans="1:3" ht="14.45" x14ac:dyDescent="0.3">
      <c r="A17" s="116" t="str">
        <f>'survey priority'!A17</f>
        <v>Contaminants and Wetland Inverts</v>
      </c>
      <c r="B17" s="74" t="e">
        <f>VLOOKUP(A17,'survey priority'!$A$2:$F$30,3,TRUE)</f>
        <v>#N/A</v>
      </c>
      <c r="C17" s="84" t="e">
        <f>B17/VLOOKUP(A17,'Survey Time'!$A$2:$C$30,3,TRUE)</f>
        <v>#N/A</v>
      </c>
    </row>
    <row r="18" spans="1:3" ht="14.45" x14ac:dyDescent="0.3">
      <c r="A18" s="116" t="str">
        <f>'survey priority'!A18</f>
        <v>Wild Rice</v>
      </c>
      <c r="B18" s="74">
        <f>VLOOKUP(A18,'survey priority'!$A$2:$F$30,3,TRUE)</f>
        <v>0.26499221183800625</v>
      </c>
      <c r="C18" s="84">
        <f>B18/VLOOKUP(A18,'Survey Time'!$A$2:$C$30,3,TRUE)</f>
        <v>1.7666147455867084E-2</v>
      </c>
    </row>
    <row r="19" spans="1:3" ht="14.45" x14ac:dyDescent="0.3">
      <c r="A19" s="116" t="str">
        <f>'survey priority'!A19</f>
        <v>IWMM</v>
      </c>
      <c r="B19" s="74" t="e">
        <f>VLOOKUP(A19,'survey priority'!$A$2:$F$30,3,TRUE)</f>
        <v>#N/A</v>
      </c>
      <c r="C19" s="84" t="e">
        <f>B19/VLOOKUP(A19,'Survey Time'!$A$2:$C$30,3,TRUE)</f>
        <v>#N/A</v>
      </c>
    </row>
    <row r="20" spans="1:3" ht="14.45" x14ac:dyDescent="0.3">
      <c r="A20" s="116" t="str">
        <f>'survey priority'!A20</f>
        <v>BBS</v>
      </c>
      <c r="B20" s="74" t="e">
        <f>VLOOKUP(A20,'survey priority'!$A$2:$F$30,3,TRUE)</f>
        <v>#N/A</v>
      </c>
      <c r="C20" s="84" t="e">
        <f>B20/VLOOKUP(A20,'Survey Time'!$A$2:$C$30,3,TRUE)</f>
        <v>#N/A</v>
      </c>
    </row>
    <row r="21" spans="1:3" ht="14.45" x14ac:dyDescent="0.3">
      <c r="A21" s="116" t="str">
        <f>'survey priority'!A21</f>
        <v>Colonial Waterbirds</v>
      </c>
      <c r="B21" s="74" t="e">
        <f>VLOOKUP(A21,'survey priority'!$A$2:$F$30,3,TRUE)</f>
        <v>#N/A</v>
      </c>
      <c r="C21" s="84" t="e">
        <f>B21/VLOOKUP(A21,'Survey Time'!$A$2:$C$30,3,TRUE)</f>
        <v>#N/A</v>
      </c>
    </row>
    <row r="22" spans="1:3" ht="14.45" x14ac:dyDescent="0.3">
      <c r="A22" s="116" t="str">
        <f>'survey priority'!A22</f>
        <v>Darnen Water Quality</v>
      </c>
      <c r="B22" s="74" t="e">
        <f>VLOOKUP(A22,'survey priority'!$A$2:$F$30,3,TRUE)</f>
        <v>#N/A</v>
      </c>
      <c r="C22" s="84" t="e">
        <f>B22/VLOOKUP(A22,'Survey Time'!$A$2:$C$30,3,TRUE)</f>
        <v>#N/A</v>
      </c>
    </row>
    <row r="23" spans="1:3" ht="14.45" x14ac:dyDescent="0.3">
      <c r="A23" s="116" t="str">
        <f>'survey priority'!A23</f>
        <v>Water Levels</v>
      </c>
      <c r="B23" s="74">
        <f>VLOOKUP(A23,'survey priority'!$A$2:$F$30,3,TRUE)</f>
        <v>0.61643302180685366</v>
      </c>
      <c r="C23" s="84">
        <f>B23/VLOOKUP(A23,'Survey Time'!$A$2:$C$30,3,TRUE)</f>
        <v>4.1095534787123578E-2</v>
      </c>
    </row>
    <row r="24" spans="1:3" ht="14.45" x14ac:dyDescent="0.3">
      <c r="A24" s="116" t="str">
        <f>'survey priority'!A24</f>
        <v>Nest Stuctures</v>
      </c>
      <c r="B24" s="74" t="e">
        <f>VLOOKUP(A24,'survey priority'!$A$2:$F$30,3,TRUE)</f>
        <v>#N/A</v>
      </c>
      <c r="C24" s="84" t="e">
        <f>B24/VLOOKUP(A24,'Survey Time'!$A$2:$C$30,3,TRUE)</f>
        <v>#N/A</v>
      </c>
    </row>
    <row r="25" spans="1:3" ht="14.45" x14ac:dyDescent="0.3">
      <c r="A25" s="116" t="str">
        <f>'survey priority'!A25</f>
        <v>Baseline Wildlife</v>
      </c>
      <c r="B25" s="74" t="e">
        <f>VLOOKUP(A25,'survey priority'!$A$2:$F$30,3,TRUE)</f>
        <v>#N/A</v>
      </c>
      <c r="C25" s="84" t="e">
        <f>B25/VLOOKUP(A25,'Survey Time'!$A$2:$C$30,3,TRUE)</f>
        <v>#N/A</v>
      </c>
    </row>
    <row r="26" spans="1:3" ht="14.45" x14ac:dyDescent="0.3">
      <c r="A26" s="116" t="str">
        <f>'survey priority'!A26</f>
        <v>Woodcock Survey</v>
      </c>
      <c r="B26" s="74">
        <f>VLOOKUP(A26,'survey priority'!$A$2:$F$30,3,TRUE)</f>
        <v>0.26499221183800625</v>
      </c>
      <c r="C26" s="84">
        <f>B26/VLOOKUP(A26,'Survey Time'!$A$2:$C$30,3,TRUE)</f>
        <v>1.7666147455867084E-2</v>
      </c>
    </row>
    <row r="27" spans="1:3" x14ac:dyDescent="0.25">
      <c r="A27" s="116" t="str">
        <f>'survey priority'!A27</f>
        <v>Relocating Prairie Chickens</v>
      </c>
      <c r="B27" s="74">
        <f>VLOOKUP(A27,'survey priority'!$A$2:$F$30,3,TRUE)</f>
        <v>0.61643302180685366</v>
      </c>
      <c r="C27" s="84">
        <f>B27/VLOOKUP(A27,'Survey Time'!$A$2:$C$30,3,TRUE)</f>
        <v>4.1095534787123578E-2</v>
      </c>
    </row>
    <row r="28" spans="1:3" x14ac:dyDescent="0.25">
      <c r="A28" s="116" t="str">
        <f>'survey priority'!A28</f>
        <v>NAAMP</v>
      </c>
      <c r="B28" s="74" t="e">
        <f>VLOOKUP(A28,'survey priority'!$A$2:$F$30,3,TRUE)</f>
        <v>#N/A</v>
      </c>
      <c r="C28" s="84" t="e">
        <f>B28/VLOOKUP(A28,'Survey Time'!$A$2:$C$30,3,TRUE)</f>
        <v>#N/A</v>
      </c>
    </row>
    <row r="29" spans="1:3" x14ac:dyDescent="0.25">
      <c r="A29" s="116" t="str">
        <f>'survey priority'!A29</f>
        <v>Dove Banding</v>
      </c>
      <c r="B29" s="74" t="e">
        <f>VLOOKUP(A29,'survey priority'!$A$2:$F$30,3,TRUE)</f>
        <v>#N/A</v>
      </c>
      <c r="C29" s="84" t="e">
        <f>B29/VLOOKUP(A29,'Survey Time'!$A$2:$C$30,3,TRUE)</f>
        <v>#N/A</v>
      </c>
    </row>
    <row r="30" spans="1:3" x14ac:dyDescent="0.25">
      <c r="A30" s="116" t="str">
        <f>'survey priority'!A30</f>
        <v>CBC</v>
      </c>
      <c r="B30" s="74" t="e">
        <f>VLOOKUP(A30,'survey priority'!$A$2:$F$30,3,TRUE)</f>
        <v>#N/A</v>
      </c>
      <c r="C30" s="84" t="e">
        <f>B30/VLOOKUP(A30,'Survey Time'!$A$2:$C$30,3,TRUE)</f>
        <v>#N/A</v>
      </c>
    </row>
    <row r="31" spans="1:3" x14ac:dyDescent="0.25">
      <c r="A31" s="116" t="e">
        <f>'survey priority'!#REF!</f>
        <v>#REF!</v>
      </c>
      <c r="B31" s="74" t="e">
        <f>VLOOKUP(A31,'survey priority'!$A$2:$F$30,3,TRUE)</f>
        <v>#REF!</v>
      </c>
      <c r="C31" s="84" t="e">
        <f>B31/VLOOKUP(A31,'Survey Time'!$A$2:$C$30,3,TRUE)</f>
        <v>#REF!</v>
      </c>
    </row>
    <row r="32" spans="1:3" x14ac:dyDescent="0.25">
      <c r="A32" s="116" t="e">
        <f>'survey priority'!#REF!</f>
        <v>#REF!</v>
      </c>
      <c r="B32" s="74" t="e">
        <f>VLOOKUP(A32,'survey priority'!$A$2:$F$30,3,TRUE)</f>
        <v>#REF!</v>
      </c>
      <c r="C32" s="84" t="e">
        <f>B32/VLOOKUP(A32,'Survey Time'!$A$2:$C$30,3,TRUE)</f>
        <v>#REF!</v>
      </c>
    </row>
    <row r="33" spans="1:3" x14ac:dyDescent="0.25">
      <c r="A33" s="116" t="e">
        <f>'survey priority'!#REF!</f>
        <v>#REF!</v>
      </c>
      <c r="B33" s="74" t="e">
        <f>VLOOKUP(A33,'survey priority'!$A$2:$F$30,3,TRUE)</f>
        <v>#REF!</v>
      </c>
      <c r="C33" s="84" t="e">
        <f>B33/VLOOKUP(A33,'Survey Time'!$A$2:$C$30,3,TRUE)</f>
        <v>#REF!</v>
      </c>
    </row>
    <row r="34" spans="1:3" x14ac:dyDescent="0.25">
      <c r="A34" s="116" t="e">
        <f>'survey priority'!#REF!</f>
        <v>#REF!</v>
      </c>
      <c r="B34" s="74" t="e">
        <f>VLOOKUP(A34,'survey priority'!$A$2:$F$30,3,TRUE)</f>
        <v>#REF!</v>
      </c>
      <c r="C34" s="84" t="e">
        <f>B34/VLOOKUP(A34,'Survey Time'!$A$2:$C$30,3,TRUE)</f>
        <v>#REF!</v>
      </c>
    </row>
    <row r="35" spans="1:3" x14ac:dyDescent="0.25">
      <c r="A35" s="116" t="e">
        <f>'survey priority'!#REF!</f>
        <v>#REF!</v>
      </c>
      <c r="B35" s="74" t="e">
        <f>VLOOKUP(A35,'survey priority'!$A$2:$F$30,3,TRUE)</f>
        <v>#REF!</v>
      </c>
      <c r="C35" s="84" t="e">
        <f>B35/VLOOKUP(A35,'Survey Time'!$A$2:$C$30,3,TRUE)</f>
        <v>#REF!</v>
      </c>
    </row>
    <row r="36" spans="1:3" x14ac:dyDescent="0.25">
      <c r="A36" s="116" t="e">
        <f>'survey priority'!#REF!</f>
        <v>#REF!</v>
      </c>
      <c r="B36" s="74" t="e">
        <f>VLOOKUP(A36,'survey priority'!$A$2:$F$30,3,TRUE)</f>
        <v>#REF!</v>
      </c>
      <c r="C36" s="84" t="e">
        <f>B36/VLOOKUP(A36,'Survey Time'!$A$2:$C$30,3,TRUE)</f>
        <v>#REF!</v>
      </c>
    </row>
    <row r="37" spans="1:3" x14ac:dyDescent="0.25">
      <c r="A37" s="116" t="e">
        <f>'survey priority'!#REF!</f>
        <v>#REF!</v>
      </c>
      <c r="B37" s="74" t="e">
        <f>VLOOKUP(A37,'survey priority'!$A$2:$F$30,3,TRUE)</f>
        <v>#REF!</v>
      </c>
      <c r="C37" s="84" t="e">
        <f>B37/VLOOKUP(A37,'Survey Time'!$A$2:$C$30,3,TRUE)</f>
        <v>#REF!</v>
      </c>
    </row>
    <row r="38" spans="1:3" x14ac:dyDescent="0.25">
      <c r="A38" s="116" t="e">
        <f>'survey priority'!#REF!</f>
        <v>#REF!</v>
      </c>
      <c r="B38" s="74" t="e">
        <f>VLOOKUP(A38,'survey priority'!$A$2:$F$30,3,TRUE)</f>
        <v>#REF!</v>
      </c>
      <c r="C38" s="84" t="e">
        <f>B38/VLOOKUP(A38,'Survey Time'!$A$2:$C$30,3,TRUE)</f>
        <v>#REF!</v>
      </c>
    </row>
    <row r="39" spans="1:3" x14ac:dyDescent="0.25">
      <c r="A39" s="116" t="e">
        <f>'survey priority'!#REF!</f>
        <v>#REF!</v>
      </c>
      <c r="B39" s="74" t="e">
        <f>VLOOKUP(A39,'survey priority'!$A$2:$F$30,3,TRUE)</f>
        <v>#REF!</v>
      </c>
      <c r="C39" s="84" t="e">
        <f>B39/VLOOKUP(A39,'Survey Time'!$A$2:$C$30,3,TRUE)</f>
        <v>#REF!</v>
      </c>
    </row>
    <row r="40" spans="1:3" x14ac:dyDescent="0.25">
      <c r="A40" s="116" t="e">
        <f>'survey priority'!#REF!</f>
        <v>#REF!</v>
      </c>
      <c r="B40" s="74" t="e">
        <f>VLOOKUP(A40,'survey priority'!$A$2:$F$30,3,TRUE)</f>
        <v>#REF!</v>
      </c>
      <c r="C40" s="84" t="e">
        <f>B40/VLOOKUP(A40,'Survey Time'!$A$2:$C$30,3,TRUE)</f>
        <v>#REF!</v>
      </c>
    </row>
    <row r="41" spans="1:3" x14ac:dyDescent="0.25">
      <c r="A41" s="116" t="e">
        <f>'survey priority'!#REF!</f>
        <v>#REF!</v>
      </c>
      <c r="B41" s="74" t="e">
        <f>VLOOKUP(A41,'survey priority'!$A$2:$F$30,3,TRUE)</f>
        <v>#REF!</v>
      </c>
      <c r="C41" s="84" t="e">
        <f>B41/VLOOKUP(A41,'Survey Time'!$A$2:$C$30,3,TRUE)</f>
        <v>#REF!</v>
      </c>
    </row>
    <row r="42" spans="1:3" x14ac:dyDescent="0.25">
      <c r="A42" s="116" t="e">
        <f>'survey priority'!#REF!</f>
        <v>#REF!</v>
      </c>
      <c r="B42" s="74" t="e">
        <f>VLOOKUP(A42,'survey priority'!$A$2:$F$30,3,TRUE)</f>
        <v>#REF!</v>
      </c>
      <c r="C42" s="84" t="e">
        <f>B42/VLOOKUP(A42,'Survey Time'!$A$2:$C$30,3,TRUE)</f>
        <v>#REF!</v>
      </c>
    </row>
    <row r="43" spans="1:3" x14ac:dyDescent="0.25">
      <c r="A43" s="116" t="e">
        <f>'survey priority'!#REF!</f>
        <v>#REF!</v>
      </c>
      <c r="B43" s="74" t="e">
        <f>VLOOKUP(A43,'survey priority'!$A$2:$F$30,3,TRUE)</f>
        <v>#REF!</v>
      </c>
      <c r="C43" s="84" t="e">
        <f>B43/VLOOKUP(A43,'Survey Time'!$A$2:$C$30,3,TRUE)</f>
        <v>#REF!</v>
      </c>
    </row>
    <row r="44" spans="1:3" x14ac:dyDescent="0.25">
      <c r="A44" s="116" t="e">
        <f>'survey priority'!#REF!</f>
        <v>#REF!</v>
      </c>
      <c r="B44" s="74" t="e">
        <f>VLOOKUP(A44,'survey priority'!$A$2:$F$30,3,TRUE)</f>
        <v>#REF!</v>
      </c>
      <c r="C44" s="84" t="e">
        <f>B44/VLOOKUP(A44,'Survey Time'!$A$2:$C$30,3,TRUE)</f>
        <v>#REF!</v>
      </c>
    </row>
    <row r="45" spans="1:3" x14ac:dyDescent="0.25">
      <c r="A45" s="116" t="e">
        <f>'survey priority'!#REF!</f>
        <v>#REF!</v>
      </c>
      <c r="B45" s="74" t="e">
        <f>VLOOKUP(A45,'survey priority'!$A$2:$F$30,3,TRUE)</f>
        <v>#REF!</v>
      </c>
      <c r="C45" s="84" t="e">
        <f>B45/VLOOKUP(A45,'Survey Time'!$A$2:$C$30,3,TRUE)</f>
        <v>#REF!</v>
      </c>
    </row>
    <row r="46" spans="1:3" x14ac:dyDescent="0.25">
      <c r="A46" s="116" t="e">
        <f>'survey priority'!#REF!</f>
        <v>#REF!</v>
      </c>
      <c r="B46" s="74" t="e">
        <f>VLOOKUP(A46,'survey priority'!$A$2:$F$30,3,TRUE)</f>
        <v>#REF!</v>
      </c>
      <c r="C46" s="84" t="e">
        <f>B46/VLOOKUP(A46,'Survey Time'!$A$2:$C$30,3,TRUE)</f>
        <v>#REF!</v>
      </c>
    </row>
    <row r="47" spans="1:3" x14ac:dyDescent="0.25">
      <c r="A47" s="116" t="e">
        <f>'survey priority'!#REF!</f>
        <v>#REF!</v>
      </c>
      <c r="B47" s="74" t="e">
        <f>VLOOKUP(A47,'survey priority'!$A$2:$F$30,3,TRUE)</f>
        <v>#REF!</v>
      </c>
      <c r="C47" s="84" t="e">
        <f>B47/VLOOKUP(A47,'Survey Time'!$A$2:$C$30,3,TRUE)</f>
        <v>#REF!</v>
      </c>
    </row>
    <row r="48" spans="1:3" x14ac:dyDescent="0.25">
      <c r="A48" s="116" t="e">
        <f>'survey priority'!#REF!</f>
        <v>#REF!</v>
      </c>
      <c r="B48" s="74" t="e">
        <f>VLOOKUP(A48,'survey priority'!$A$2:$F$30,3,TRUE)</f>
        <v>#REF!</v>
      </c>
      <c r="C48" s="84" t="e">
        <f>B48/VLOOKUP(A48,'Survey Time'!$A$2:$C$30,3,TRUE)</f>
        <v>#REF!</v>
      </c>
    </row>
    <row r="49" spans="1:3" x14ac:dyDescent="0.25">
      <c r="A49" s="116" t="e">
        <f>'survey priority'!#REF!</f>
        <v>#REF!</v>
      </c>
      <c r="B49" s="74" t="e">
        <f>VLOOKUP(A49,'survey priority'!$A$2:$F$30,3,TRUE)</f>
        <v>#REF!</v>
      </c>
      <c r="C49" s="84" t="e">
        <f>B49/VLOOKUP(A49,'Survey Time'!$A$2:$C$30,3,TRUE)</f>
        <v>#REF!</v>
      </c>
    </row>
    <row r="50" spans="1:3" x14ac:dyDescent="0.25">
      <c r="A50" s="116" t="e">
        <f>'survey priority'!#REF!</f>
        <v>#REF!</v>
      </c>
      <c r="B50" s="74" t="e">
        <f>VLOOKUP(A50,'survey priority'!$A$2:$F$30,3,TRUE)</f>
        <v>#REF!</v>
      </c>
      <c r="C50" s="84" t="e">
        <f>B50/VLOOKUP(A50,'Survey Time'!$A$2:$C$30,3,TRUE)</f>
        <v>#REF!</v>
      </c>
    </row>
    <row r="51" spans="1:3" x14ac:dyDescent="0.25">
      <c r="A51" s="116" t="e">
        <f>'survey priority'!#REF!</f>
        <v>#REF!</v>
      </c>
      <c r="B51" s="74" t="e">
        <f>VLOOKUP(A51,'survey priority'!$A$2:$F$30,3,TRUE)</f>
        <v>#REF!</v>
      </c>
      <c r="C51" s="84" t="e">
        <f>B51/VLOOKUP(A51,'Survey Time'!$A$2:$C$30,3,TRUE)</f>
        <v>#REF!</v>
      </c>
    </row>
  </sheetData>
  <pageMargins left="0.7" right="0.7" top="0.75" bottom="0.75" header="0.3" footer="0.3"/>
  <pageSetup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27" sqref="B27"/>
    </sheetView>
  </sheetViews>
  <sheetFormatPr defaultColWidth="8.85546875" defaultRowHeight="15" x14ac:dyDescent="0.25"/>
  <cols>
    <col min="1" max="1" width="47" style="1" customWidth="1"/>
    <col min="2" max="2" width="17.140625" style="15" customWidth="1"/>
    <col min="3" max="3" width="18.28515625" style="1" customWidth="1"/>
    <col min="4" max="4" width="8.85546875" style="1"/>
    <col min="5" max="5" width="14.42578125" bestFit="1" customWidth="1"/>
    <col min="6" max="6" width="13.42578125" bestFit="1" customWidth="1"/>
    <col min="9" max="10" width="8.85546875" style="1"/>
    <col min="11" max="11" width="9.28515625" style="1" customWidth="1"/>
    <col min="12" max="12" width="8.85546875" style="1"/>
    <col min="13" max="13" width="87.85546875" style="1" bestFit="1" customWidth="1"/>
    <col min="14" max="14" width="13.42578125" style="1" bestFit="1" customWidth="1"/>
    <col min="15" max="15" width="19.28515625" style="1" bestFit="1" customWidth="1"/>
    <col min="16" max="16384" width="8.85546875" style="1"/>
  </cols>
  <sheetData>
    <row r="1" spans="1:13" s="36" customFormat="1" ht="45.6" customHeight="1" x14ac:dyDescent="0.2">
      <c r="A1" s="34" t="s">
        <v>29</v>
      </c>
      <c r="B1" s="35" t="s">
        <v>28</v>
      </c>
      <c r="C1" s="34" t="s">
        <v>36</v>
      </c>
      <c r="E1" s="36" t="s">
        <v>154</v>
      </c>
      <c r="F1" s="36" t="s">
        <v>158</v>
      </c>
      <c r="G1" s="36">
        <v>2015</v>
      </c>
      <c r="H1" s="36">
        <v>2016</v>
      </c>
      <c r="I1" s="36">
        <v>2017</v>
      </c>
      <c r="J1" s="36">
        <v>2018</v>
      </c>
      <c r="K1" s="36">
        <v>2019</v>
      </c>
      <c r="L1" s="36" t="s">
        <v>149</v>
      </c>
    </row>
    <row r="2" spans="1:13" x14ac:dyDescent="0.25">
      <c r="A2" s="36" t="s">
        <v>105</v>
      </c>
      <c r="B2" s="37">
        <v>4.5999999999999996</v>
      </c>
      <c r="C2" s="38">
        <v>15</v>
      </c>
      <c r="E2" t="s">
        <v>151</v>
      </c>
      <c r="F2" s="1" t="s">
        <v>134</v>
      </c>
      <c r="G2">
        <v>4.5999999999999996</v>
      </c>
      <c r="H2">
        <v>4.5999999999999996</v>
      </c>
      <c r="I2">
        <v>4.5999999999999996</v>
      </c>
      <c r="J2">
        <v>4.5999999999999996</v>
      </c>
      <c r="K2">
        <v>4.5999999999999996</v>
      </c>
      <c r="L2" s="1" t="s">
        <v>150</v>
      </c>
    </row>
    <row r="3" spans="1:13" x14ac:dyDescent="0.25">
      <c r="A3" s="36" t="s">
        <v>106</v>
      </c>
      <c r="B3" s="37">
        <v>4.7</v>
      </c>
      <c r="C3" s="38">
        <v>8</v>
      </c>
      <c r="E3" t="s">
        <v>151</v>
      </c>
      <c r="F3" s="1" t="s">
        <v>135</v>
      </c>
      <c r="G3">
        <v>4.7</v>
      </c>
      <c r="H3">
        <v>4.7</v>
      </c>
      <c r="I3">
        <v>4.7</v>
      </c>
      <c r="J3">
        <v>4.7</v>
      </c>
      <c r="K3">
        <v>4.7</v>
      </c>
      <c r="L3" s="1" t="s">
        <v>151</v>
      </c>
      <c r="M3" s="1" t="s">
        <v>162</v>
      </c>
    </row>
    <row r="4" spans="1:13" x14ac:dyDescent="0.25">
      <c r="A4" s="122" t="s">
        <v>107</v>
      </c>
      <c r="B4" s="37">
        <v>2.4</v>
      </c>
      <c r="C4" s="38">
        <v>1</v>
      </c>
      <c r="E4" t="s">
        <v>151</v>
      </c>
      <c r="F4" s="1" t="s">
        <v>134</v>
      </c>
      <c r="G4">
        <v>2.4</v>
      </c>
      <c r="H4" s="126">
        <v>0</v>
      </c>
      <c r="I4" s="126">
        <v>0</v>
      </c>
      <c r="J4" s="126">
        <v>0</v>
      </c>
      <c r="K4" s="127">
        <v>0</v>
      </c>
      <c r="L4" s="1" t="s">
        <v>150</v>
      </c>
      <c r="M4" s="1" t="s">
        <v>156</v>
      </c>
    </row>
    <row r="5" spans="1:13" x14ac:dyDescent="0.25">
      <c r="A5" s="123" t="s">
        <v>108</v>
      </c>
      <c r="B5" s="37">
        <v>4.4000000000000004</v>
      </c>
      <c r="C5" s="38">
        <v>15</v>
      </c>
      <c r="E5" t="s">
        <v>151</v>
      </c>
      <c r="F5" s="1" t="s">
        <v>134</v>
      </c>
      <c r="G5">
        <v>4.4000000000000004</v>
      </c>
      <c r="H5">
        <v>4.4000000000000004</v>
      </c>
      <c r="I5">
        <v>4.4000000000000004</v>
      </c>
      <c r="J5">
        <v>4.4000000000000004</v>
      </c>
      <c r="K5">
        <v>4.4000000000000004</v>
      </c>
      <c r="L5" s="1" t="s">
        <v>150</v>
      </c>
    </row>
    <row r="6" spans="1:13" x14ac:dyDescent="0.25">
      <c r="A6" s="123" t="s">
        <v>109</v>
      </c>
      <c r="B6" s="37">
        <v>1.3</v>
      </c>
      <c r="C6" s="38">
        <v>15</v>
      </c>
      <c r="E6" t="s">
        <v>151</v>
      </c>
      <c r="F6" s="1" t="s">
        <v>140</v>
      </c>
      <c r="G6">
        <v>1.3</v>
      </c>
      <c r="H6">
        <v>1.3</v>
      </c>
      <c r="I6">
        <v>1.3</v>
      </c>
      <c r="J6">
        <v>1.3</v>
      </c>
      <c r="K6">
        <v>1.3</v>
      </c>
      <c r="L6" s="1" t="s">
        <v>150</v>
      </c>
      <c r="M6" s="1" t="s">
        <v>153</v>
      </c>
    </row>
    <row r="7" spans="1:13" x14ac:dyDescent="0.25">
      <c r="A7" s="123" t="s">
        <v>110</v>
      </c>
      <c r="B7" s="37">
        <v>3</v>
      </c>
      <c r="C7" s="38">
        <v>15</v>
      </c>
      <c r="E7" t="s">
        <v>155</v>
      </c>
      <c r="F7" s="1" t="s">
        <v>134</v>
      </c>
      <c r="G7">
        <v>3</v>
      </c>
      <c r="H7">
        <v>3</v>
      </c>
      <c r="I7">
        <v>3</v>
      </c>
      <c r="J7">
        <v>3</v>
      </c>
      <c r="K7">
        <v>3</v>
      </c>
      <c r="L7" s="1" t="s">
        <v>151</v>
      </c>
      <c r="M7" s="1" t="s">
        <v>152</v>
      </c>
    </row>
    <row r="8" spans="1:13" x14ac:dyDescent="0.25">
      <c r="A8" s="139" t="s">
        <v>111</v>
      </c>
      <c r="B8" s="37">
        <v>1.2</v>
      </c>
      <c r="C8" s="38">
        <v>3</v>
      </c>
      <c r="E8" t="s">
        <v>151</v>
      </c>
      <c r="F8" s="1" t="s">
        <v>164</v>
      </c>
      <c r="G8" s="128">
        <v>0</v>
      </c>
      <c r="H8" s="128">
        <v>1.2</v>
      </c>
      <c r="I8" s="128">
        <v>0</v>
      </c>
      <c r="J8" s="128">
        <v>0</v>
      </c>
      <c r="K8" s="128">
        <v>0</v>
      </c>
      <c r="L8" s="1" t="s">
        <v>151</v>
      </c>
      <c r="M8" s="1" t="s">
        <v>163</v>
      </c>
    </row>
    <row r="9" spans="1:13" x14ac:dyDescent="0.25">
      <c r="A9" s="123" t="s">
        <v>112</v>
      </c>
      <c r="B9" s="37">
        <v>6.6</v>
      </c>
      <c r="C9" s="38">
        <v>8</v>
      </c>
      <c r="E9" t="s">
        <v>151</v>
      </c>
      <c r="F9" s="1" t="s">
        <v>137</v>
      </c>
      <c r="G9">
        <v>6.6</v>
      </c>
      <c r="H9">
        <v>6.6</v>
      </c>
      <c r="I9">
        <v>6.6</v>
      </c>
      <c r="J9">
        <v>6.6</v>
      </c>
      <c r="K9">
        <v>6.6</v>
      </c>
      <c r="L9" s="1" t="s">
        <v>151</v>
      </c>
      <c r="M9" s="1" t="s">
        <v>162</v>
      </c>
    </row>
    <row r="10" spans="1:13" x14ac:dyDescent="0.25">
      <c r="A10" s="123" t="s">
        <v>113</v>
      </c>
      <c r="B10" s="37">
        <v>0.2</v>
      </c>
      <c r="C10" s="38">
        <v>1</v>
      </c>
      <c r="E10" t="s">
        <v>151</v>
      </c>
      <c r="F10" s="1" t="s">
        <v>143</v>
      </c>
      <c r="G10">
        <v>0.2</v>
      </c>
      <c r="H10" s="126">
        <v>0</v>
      </c>
      <c r="I10" s="126">
        <v>0</v>
      </c>
      <c r="J10" s="126">
        <v>0</v>
      </c>
      <c r="K10" s="126">
        <v>0</v>
      </c>
      <c r="L10" s="1" t="s">
        <v>150</v>
      </c>
      <c r="M10" s="1" t="s">
        <v>157</v>
      </c>
    </row>
    <row r="11" spans="1:13" x14ac:dyDescent="0.25">
      <c r="A11" s="140" t="s">
        <v>114</v>
      </c>
      <c r="B11" s="37">
        <v>9</v>
      </c>
      <c r="C11" s="38">
        <v>15</v>
      </c>
      <c r="E11" t="s">
        <v>150</v>
      </c>
      <c r="F11" s="1" t="s">
        <v>138</v>
      </c>
      <c r="G11" s="131"/>
      <c r="H11" s="131">
        <v>9</v>
      </c>
      <c r="I11" s="131">
        <v>9</v>
      </c>
      <c r="J11" s="132">
        <v>9</v>
      </c>
      <c r="K11" s="132">
        <v>9</v>
      </c>
      <c r="L11" s="1" t="s">
        <v>151</v>
      </c>
      <c r="M11" s="1" t="s">
        <v>152</v>
      </c>
    </row>
    <row r="12" spans="1:13" x14ac:dyDescent="0.25">
      <c r="A12" s="123" t="s">
        <v>115</v>
      </c>
      <c r="B12" s="37">
        <v>7</v>
      </c>
      <c r="C12" s="38">
        <v>15</v>
      </c>
      <c r="E12" t="s">
        <v>151</v>
      </c>
      <c r="F12" s="1" t="s">
        <v>136</v>
      </c>
      <c r="G12">
        <v>7</v>
      </c>
      <c r="H12">
        <v>7</v>
      </c>
      <c r="I12">
        <v>7</v>
      </c>
      <c r="J12" s="1">
        <v>7</v>
      </c>
      <c r="K12" s="1">
        <v>7</v>
      </c>
      <c r="L12" s="1" t="s">
        <v>150</v>
      </c>
    </row>
    <row r="13" spans="1:13" x14ac:dyDescent="0.25">
      <c r="A13" s="140" t="s">
        <v>116</v>
      </c>
      <c r="B13" s="37">
        <v>4</v>
      </c>
      <c r="C13" s="38">
        <v>15</v>
      </c>
      <c r="E13" t="s">
        <v>150</v>
      </c>
      <c r="F13" s="1" t="s">
        <v>138</v>
      </c>
      <c r="G13" s="131">
        <v>4</v>
      </c>
      <c r="H13" s="131">
        <v>4</v>
      </c>
      <c r="I13" s="131">
        <v>4</v>
      </c>
      <c r="J13" s="132">
        <v>4</v>
      </c>
      <c r="K13" s="132">
        <v>4</v>
      </c>
      <c r="L13" s="1" t="s">
        <v>151</v>
      </c>
      <c r="M13" s="1" t="s">
        <v>152</v>
      </c>
    </row>
    <row r="14" spans="1:13" x14ac:dyDescent="0.25">
      <c r="A14" s="140" t="s">
        <v>117</v>
      </c>
      <c r="B14" s="37">
        <v>2.4</v>
      </c>
      <c r="C14" s="38">
        <v>2</v>
      </c>
      <c r="E14" t="s">
        <v>150</v>
      </c>
      <c r="F14" s="1" t="s">
        <v>137</v>
      </c>
      <c r="G14" s="131">
        <v>2.4</v>
      </c>
      <c r="H14" s="131">
        <v>2.4</v>
      </c>
      <c r="I14" s="131">
        <v>2.4</v>
      </c>
      <c r="J14" s="132">
        <v>0</v>
      </c>
      <c r="K14" s="132">
        <v>0</v>
      </c>
      <c r="L14" s="1" t="s">
        <v>151</v>
      </c>
      <c r="M14" s="1" t="s">
        <v>159</v>
      </c>
    </row>
    <row r="15" spans="1:13" x14ac:dyDescent="0.25">
      <c r="A15" s="123" t="s">
        <v>118</v>
      </c>
      <c r="B15" s="37">
        <v>3.1</v>
      </c>
      <c r="C15" s="38">
        <v>1</v>
      </c>
      <c r="E15" t="s">
        <v>151</v>
      </c>
      <c r="F15" s="1" t="s">
        <v>141</v>
      </c>
      <c r="G15">
        <v>3.1</v>
      </c>
      <c r="H15" s="126">
        <v>0</v>
      </c>
      <c r="I15" s="126">
        <v>0</v>
      </c>
      <c r="J15" s="127">
        <v>0</v>
      </c>
      <c r="K15" s="127">
        <v>0</v>
      </c>
      <c r="L15" s="1" t="s">
        <v>150</v>
      </c>
    </row>
    <row r="16" spans="1:13" x14ac:dyDescent="0.25">
      <c r="A16" s="123" t="s">
        <v>119</v>
      </c>
      <c r="B16" s="37">
        <v>5.7</v>
      </c>
      <c r="C16" s="38">
        <v>15</v>
      </c>
      <c r="E16" t="s">
        <v>151</v>
      </c>
      <c r="F16" s="1" t="s">
        <v>138</v>
      </c>
      <c r="G16">
        <v>5.7</v>
      </c>
      <c r="H16">
        <v>5.7</v>
      </c>
      <c r="I16">
        <v>5.7</v>
      </c>
      <c r="J16">
        <v>5.7</v>
      </c>
      <c r="K16">
        <v>5.7</v>
      </c>
      <c r="L16" s="1" t="s">
        <v>151</v>
      </c>
      <c r="M16" s="1" t="s">
        <v>160</v>
      </c>
    </row>
    <row r="17" spans="1:13" x14ac:dyDescent="0.25">
      <c r="A17" s="140" t="s">
        <v>120</v>
      </c>
      <c r="B17" s="37">
        <v>4.5999999999999996</v>
      </c>
      <c r="C17" s="38">
        <v>2</v>
      </c>
      <c r="E17" t="s">
        <v>150</v>
      </c>
      <c r="F17" s="1" t="s">
        <v>138</v>
      </c>
      <c r="G17" s="131">
        <v>4.5999999999999996</v>
      </c>
      <c r="H17" s="131">
        <v>4.5999999999999996</v>
      </c>
      <c r="I17" s="131">
        <v>4.5999999999999996</v>
      </c>
      <c r="J17" s="131">
        <v>4.5999999999999996</v>
      </c>
      <c r="K17" s="131">
        <v>4.5999999999999996</v>
      </c>
      <c r="L17" s="1" t="s">
        <v>151</v>
      </c>
      <c r="M17" s="1" t="s">
        <v>161</v>
      </c>
    </row>
    <row r="18" spans="1:13" x14ac:dyDescent="0.25">
      <c r="A18" s="123" t="s">
        <v>121</v>
      </c>
      <c r="B18" s="37">
        <v>2.5</v>
      </c>
      <c r="C18" s="38">
        <v>15</v>
      </c>
      <c r="E18" t="s">
        <v>151</v>
      </c>
      <c r="F18" s="1" t="s">
        <v>135</v>
      </c>
      <c r="G18">
        <v>2.5</v>
      </c>
      <c r="H18">
        <v>2.5</v>
      </c>
      <c r="I18">
        <v>2.5</v>
      </c>
      <c r="J18">
        <v>2.5</v>
      </c>
      <c r="K18">
        <v>2.5</v>
      </c>
      <c r="L18" s="1" t="s">
        <v>151</v>
      </c>
      <c r="M18" s="1" t="s">
        <v>162</v>
      </c>
    </row>
    <row r="19" spans="1:13" x14ac:dyDescent="0.25">
      <c r="A19" s="140" t="s">
        <v>122</v>
      </c>
      <c r="B19" s="37">
        <v>13.2</v>
      </c>
      <c r="C19" s="38">
        <v>15</v>
      </c>
      <c r="E19" t="s">
        <v>150</v>
      </c>
      <c r="F19" s="1" t="s">
        <v>138</v>
      </c>
      <c r="G19" s="131">
        <v>8.1999999999999993</v>
      </c>
      <c r="H19" s="131">
        <v>8.1999999999999993</v>
      </c>
      <c r="I19" s="131">
        <v>8.1999999999999993</v>
      </c>
      <c r="J19" s="131">
        <v>8.1999999999999993</v>
      </c>
      <c r="K19" s="131">
        <v>8.1999999999999993</v>
      </c>
      <c r="L19" s="1" t="s">
        <v>151</v>
      </c>
      <c r="M19" s="1" t="s">
        <v>173</v>
      </c>
    </row>
    <row r="20" spans="1:13" x14ac:dyDescent="0.25">
      <c r="A20" s="123" t="s">
        <v>123</v>
      </c>
      <c r="B20" s="37">
        <v>0.9</v>
      </c>
      <c r="C20" s="38">
        <v>15</v>
      </c>
      <c r="E20" t="s">
        <v>151</v>
      </c>
      <c r="F20" s="1" t="s">
        <v>137</v>
      </c>
      <c r="G20">
        <v>0.9</v>
      </c>
      <c r="H20">
        <v>0.9</v>
      </c>
      <c r="I20">
        <v>0.9</v>
      </c>
      <c r="J20">
        <v>0.9</v>
      </c>
      <c r="K20">
        <v>0.9</v>
      </c>
      <c r="L20" s="1" t="s">
        <v>151</v>
      </c>
      <c r="M20" s="1" t="s">
        <v>167</v>
      </c>
    </row>
    <row r="21" spans="1:13" x14ac:dyDescent="0.25">
      <c r="A21" s="139" t="s">
        <v>124</v>
      </c>
      <c r="B21" s="37">
        <v>2.5</v>
      </c>
      <c r="C21" s="38">
        <v>3</v>
      </c>
      <c r="E21" t="s">
        <v>151</v>
      </c>
      <c r="F21" s="1" t="s">
        <v>140</v>
      </c>
      <c r="G21" s="128">
        <v>0</v>
      </c>
      <c r="H21" s="128">
        <v>0</v>
      </c>
      <c r="I21" s="128">
        <v>2.5</v>
      </c>
      <c r="J21" s="129">
        <v>0</v>
      </c>
      <c r="K21" s="129">
        <v>0</v>
      </c>
      <c r="L21" s="1" t="s">
        <v>150</v>
      </c>
      <c r="M21" s="1" t="s">
        <v>163</v>
      </c>
    </row>
    <row r="22" spans="1:13" x14ac:dyDescent="0.25">
      <c r="A22" s="139" t="s">
        <v>125</v>
      </c>
      <c r="B22" s="37">
        <v>1.2</v>
      </c>
      <c r="C22" s="38">
        <v>3</v>
      </c>
      <c r="E22" t="s">
        <v>151</v>
      </c>
      <c r="F22" s="1" t="s">
        <v>138</v>
      </c>
      <c r="G22" s="128">
        <v>0</v>
      </c>
      <c r="H22" s="128">
        <v>0</v>
      </c>
      <c r="I22" s="128">
        <v>0</v>
      </c>
      <c r="J22" s="128">
        <v>1.2</v>
      </c>
      <c r="K22" s="129">
        <v>0</v>
      </c>
      <c r="L22" s="1" t="s">
        <v>150</v>
      </c>
      <c r="M22" s="1" t="s">
        <v>163</v>
      </c>
    </row>
    <row r="23" spans="1:13" x14ac:dyDescent="0.25">
      <c r="A23" s="123" t="s">
        <v>126</v>
      </c>
      <c r="B23" s="37">
        <v>5</v>
      </c>
      <c r="C23" s="38">
        <v>15</v>
      </c>
      <c r="E23" t="s">
        <v>151</v>
      </c>
      <c r="F23" s="1" t="s">
        <v>138</v>
      </c>
      <c r="G23">
        <v>5</v>
      </c>
      <c r="H23">
        <v>5</v>
      </c>
      <c r="I23">
        <v>5</v>
      </c>
      <c r="J23" s="1">
        <v>5</v>
      </c>
      <c r="K23" s="1">
        <v>5</v>
      </c>
      <c r="L23" s="1" t="s">
        <v>151</v>
      </c>
      <c r="M23" s="1" t="s">
        <v>162</v>
      </c>
    </row>
    <row r="24" spans="1:13" x14ac:dyDescent="0.25">
      <c r="A24" s="123" t="s">
        <v>127</v>
      </c>
      <c r="B24" s="37">
        <v>3.5</v>
      </c>
      <c r="C24" s="38">
        <v>15</v>
      </c>
      <c r="E24" t="s">
        <v>151</v>
      </c>
      <c r="F24" s="1" t="s">
        <v>139</v>
      </c>
      <c r="G24">
        <v>3.5</v>
      </c>
      <c r="H24">
        <v>3.5</v>
      </c>
      <c r="I24">
        <v>3.5</v>
      </c>
      <c r="J24">
        <v>3.5</v>
      </c>
      <c r="K24">
        <v>3.5</v>
      </c>
      <c r="L24" s="1" t="s">
        <v>150</v>
      </c>
    </row>
    <row r="25" spans="1:13" x14ac:dyDescent="0.25">
      <c r="A25" s="140" t="s">
        <v>128</v>
      </c>
      <c r="B25" s="37">
        <v>6</v>
      </c>
      <c r="C25" s="38">
        <v>5</v>
      </c>
      <c r="E25" t="s">
        <v>150</v>
      </c>
      <c r="F25" s="1" t="s">
        <v>138</v>
      </c>
      <c r="G25" s="131"/>
      <c r="H25" s="131">
        <v>7</v>
      </c>
      <c r="I25" s="131">
        <v>5</v>
      </c>
      <c r="J25" s="131">
        <v>5</v>
      </c>
      <c r="K25" s="131">
        <v>5</v>
      </c>
      <c r="L25" s="1" t="s">
        <v>151</v>
      </c>
      <c r="M25" s="1" t="s">
        <v>165</v>
      </c>
    </row>
    <row r="26" spans="1:13" x14ac:dyDescent="0.25">
      <c r="A26" s="123" t="s">
        <v>129</v>
      </c>
      <c r="B26" s="37">
        <v>0.6</v>
      </c>
      <c r="C26" s="38">
        <v>15</v>
      </c>
      <c r="E26" t="s">
        <v>151</v>
      </c>
      <c r="F26" s="1" t="s">
        <v>136</v>
      </c>
      <c r="G26">
        <v>0.6</v>
      </c>
      <c r="H26">
        <v>0.6</v>
      </c>
      <c r="I26">
        <v>0.6</v>
      </c>
      <c r="J26">
        <v>0.6</v>
      </c>
      <c r="K26">
        <v>0.6</v>
      </c>
      <c r="L26" s="1" t="s">
        <v>151</v>
      </c>
      <c r="M26" s="1" t="s">
        <v>166</v>
      </c>
    </row>
    <row r="27" spans="1:13" x14ac:dyDescent="0.25">
      <c r="A27" s="123" t="s">
        <v>130</v>
      </c>
      <c r="B27" s="37">
        <v>2</v>
      </c>
      <c r="C27" s="38">
        <v>2</v>
      </c>
      <c r="E27" t="s">
        <v>151</v>
      </c>
      <c r="F27" s="1" t="s">
        <v>136</v>
      </c>
      <c r="G27">
        <v>2</v>
      </c>
      <c r="H27">
        <v>1</v>
      </c>
      <c r="I27" s="126">
        <v>0</v>
      </c>
      <c r="J27" s="127">
        <v>0</v>
      </c>
      <c r="K27" s="127">
        <v>0</v>
      </c>
      <c r="L27" s="1" t="s">
        <v>150</v>
      </c>
    </row>
    <row r="28" spans="1:13" x14ac:dyDescent="0.25">
      <c r="A28" s="123" t="s">
        <v>131</v>
      </c>
      <c r="B28" s="37">
        <v>0.9</v>
      </c>
      <c r="C28" s="38">
        <v>15</v>
      </c>
      <c r="E28" t="s">
        <v>151</v>
      </c>
      <c r="F28" s="1" t="s">
        <v>137</v>
      </c>
      <c r="G28">
        <v>0.9</v>
      </c>
      <c r="H28">
        <v>0.9</v>
      </c>
      <c r="I28">
        <v>0.9</v>
      </c>
      <c r="J28">
        <v>0.9</v>
      </c>
      <c r="K28">
        <v>0.9</v>
      </c>
      <c r="L28" s="1" t="s">
        <v>151</v>
      </c>
      <c r="M28" s="1" t="s">
        <v>168</v>
      </c>
    </row>
    <row r="29" spans="1:13" x14ac:dyDescent="0.25">
      <c r="A29" s="123" t="s">
        <v>132</v>
      </c>
      <c r="B29" s="37">
        <v>2.7</v>
      </c>
      <c r="C29" s="38">
        <v>15</v>
      </c>
      <c r="E29" t="s">
        <v>151</v>
      </c>
      <c r="F29" s="1" t="s">
        <v>134</v>
      </c>
      <c r="G29">
        <v>2.7</v>
      </c>
      <c r="H29">
        <v>2.7</v>
      </c>
      <c r="I29">
        <v>2.7</v>
      </c>
      <c r="J29">
        <v>2.7</v>
      </c>
      <c r="K29">
        <v>2.7</v>
      </c>
      <c r="L29" s="1" t="s">
        <v>151</v>
      </c>
      <c r="M29" s="1" t="s">
        <v>170</v>
      </c>
    </row>
    <row r="30" spans="1:13" x14ac:dyDescent="0.25">
      <c r="A30" s="123" t="s">
        <v>133</v>
      </c>
      <c r="B30" s="37">
        <v>1</v>
      </c>
      <c r="C30" s="38">
        <v>15</v>
      </c>
      <c r="E30" t="s">
        <v>151</v>
      </c>
      <c r="F30" s="1" t="s">
        <v>142</v>
      </c>
      <c r="G30">
        <v>1</v>
      </c>
      <c r="H30">
        <v>1</v>
      </c>
      <c r="I30">
        <v>1</v>
      </c>
      <c r="J30" s="1">
        <v>1</v>
      </c>
      <c r="K30" s="1">
        <v>1</v>
      </c>
      <c r="L30" s="1" t="s">
        <v>151</v>
      </c>
      <c r="M30" s="1" t="s">
        <v>169</v>
      </c>
    </row>
    <row r="31" spans="1:13" x14ac:dyDescent="0.25">
      <c r="G31">
        <f>SUM(G2:G30)</f>
        <v>81.300000000000011</v>
      </c>
      <c r="H31">
        <f t="shared" ref="H31:K31" si="0">SUM(H2:H30)</f>
        <v>91.800000000000011</v>
      </c>
      <c r="I31">
        <f t="shared" si="0"/>
        <v>90.100000000000009</v>
      </c>
      <c r="J31">
        <f t="shared" si="0"/>
        <v>86.40000000000002</v>
      </c>
      <c r="K31">
        <f t="shared" si="0"/>
        <v>85.200000000000017</v>
      </c>
    </row>
    <row r="33" spans="5:13" x14ac:dyDescent="0.25">
      <c r="E33" s="125" t="s">
        <v>144</v>
      </c>
      <c r="F33" s="12">
        <v>23.92</v>
      </c>
      <c r="G33" s="12"/>
    </row>
    <row r="34" spans="5:13" x14ac:dyDescent="0.25">
      <c r="E34" s="125" t="s">
        <v>145</v>
      </c>
      <c r="F34" s="12">
        <v>10.43</v>
      </c>
      <c r="G34" s="12">
        <f>SUM(F33:F34)</f>
        <v>34.35</v>
      </c>
      <c r="M34" s="127" t="s">
        <v>171</v>
      </c>
    </row>
    <row r="35" spans="5:13" x14ac:dyDescent="0.25">
      <c r="E35" s="125" t="s">
        <v>146</v>
      </c>
      <c r="F35" s="12">
        <v>11.99</v>
      </c>
      <c r="G35" s="12">
        <f>SUM(F33:F35)</f>
        <v>46.34</v>
      </c>
      <c r="I35" s="12"/>
      <c r="J35" s="12"/>
      <c r="L35" s="12"/>
      <c r="M35" s="130" t="s">
        <v>172</v>
      </c>
    </row>
    <row r="36" spans="5:13" x14ac:dyDescent="0.25">
      <c r="E36" s="125" t="s">
        <v>147</v>
      </c>
      <c r="F36" s="12">
        <v>6.4</v>
      </c>
      <c r="G36" s="12">
        <f>SUM(F33:F36)</f>
        <v>52.74</v>
      </c>
      <c r="I36" s="12"/>
      <c r="J36" s="12"/>
      <c r="L36" s="12"/>
      <c r="M36" s="133" t="s">
        <v>174</v>
      </c>
    </row>
    <row r="37" spans="5:13" x14ac:dyDescent="0.25">
      <c r="I37" s="12"/>
      <c r="J37" s="12"/>
      <c r="K37" s="12"/>
      <c r="L37" s="12"/>
    </row>
    <row r="38" spans="5:13" x14ac:dyDescent="0.25">
      <c r="I38" s="12"/>
      <c r="J38" s="12"/>
      <c r="K38" s="12"/>
      <c r="L38" s="12"/>
    </row>
  </sheetData>
  <dataValidations count="1">
    <dataValidation type="whole" allowBlank="1" showInputMessage="1" showErrorMessage="1" sqref="C2:C30">
      <formula1>1</formula1>
      <formula2>15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O58"/>
  <sheetViews>
    <sheetView tabSelected="1" topLeftCell="A16" zoomScaleNormal="100" workbookViewId="0">
      <selection activeCell="G56" sqref="G56"/>
    </sheetView>
  </sheetViews>
  <sheetFormatPr defaultColWidth="6.7109375" defaultRowHeight="15" x14ac:dyDescent="0.25"/>
  <cols>
    <col min="1" max="1" width="7.42578125" style="40" customWidth="1"/>
    <col min="2" max="2" width="24.140625" style="87" customWidth="1"/>
    <col min="3" max="3" width="5.85546875" style="39" bestFit="1" customWidth="1"/>
    <col min="4" max="4" width="7.28515625" style="89" customWidth="1"/>
    <col min="5" max="5" width="7" style="40" customWidth="1"/>
    <col min="6" max="6" width="12.7109375" style="42" customWidth="1"/>
    <col min="7" max="7" width="8.85546875" style="16" customWidth="1"/>
    <col min="8" max="8" width="10.140625" style="16" customWidth="1"/>
    <col min="9" max="9" width="6.7109375" style="16"/>
    <col min="10" max="10" width="8.7109375" style="16" customWidth="1"/>
    <col min="11" max="11" width="7.140625" style="16" customWidth="1"/>
    <col min="12" max="12" width="8.7109375" style="16" bestFit="1" customWidth="1"/>
    <col min="13" max="13" width="10.140625" style="16" bestFit="1" customWidth="1"/>
    <col min="14" max="14" width="7.5703125" style="16" customWidth="1"/>
    <col min="15" max="15" width="4.5703125" style="16" bestFit="1" customWidth="1"/>
    <col min="16" max="41" width="4.5703125" bestFit="1" customWidth="1"/>
  </cols>
  <sheetData>
    <row r="1" spans="1:41" x14ac:dyDescent="0.25">
      <c r="A1" s="48"/>
      <c r="B1" s="86"/>
      <c r="C1" s="49"/>
      <c r="D1" s="88"/>
      <c r="E1" s="50"/>
      <c r="F1" s="51"/>
      <c r="G1" s="104" t="s">
        <v>50</v>
      </c>
      <c r="H1" s="95"/>
      <c r="I1" s="95"/>
      <c r="J1" s="95"/>
      <c r="K1" s="95"/>
      <c r="L1" s="95"/>
      <c r="M1" s="95"/>
      <c r="N1" s="95"/>
      <c r="O1" s="95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</row>
    <row r="2" spans="1:41" x14ac:dyDescent="0.25">
      <c r="A2" s="50"/>
      <c r="B2" s="86" t="s">
        <v>5</v>
      </c>
      <c r="C2" s="49" t="s">
        <v>5</v>
      </c>
      <c r="D2" s="88"/>
      <c r="E2" s="50"/>
      <c r="F2" s="51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</row>
    <row r="3" spans="1:41" s="103" customFormat="1" ht="56.25" customHeight="1" thickBot="1" x14ac:dyDescent="0.3">
      <c r="A3" s="97" t="s">
        <v>57</v>
      </c>
      <c r="B3" s="98" t="s">
        <v>0</v>
      </c>
      <c r="C3" s="97" t="s">
        <v>1</v>
      </c>
      <c r="D3" s="99" t="s">
        <v>56</v>
      </c>
      <c r="E3" s="97" t="s">
        <v>51</v>
      </c>
      <c r="F3" s="100" t="s">
        <v>52</v>
      </c>
      <c r="G3" s="101" t="s">
        <v>148</v>
      </c>
      <c r="H3" s="101" t="s">
        <v>176</v>
      </c>
      <c r="I3" s="101" t="s">
        <v>177</v>
      </c>
      <c r="J3" s="101" t="s">
        <v>178</v>
      </c>
      <c r="K3" s="101" t="s">
        <v>179</v>
      </c>
      <c r="L3" s="101" t="s">
        <v>180</v>
      </c>
      <c r="M3" s="101" t="s">
        <v>181</v>
      </c>
      <c r="N3" s="101" t="s">
        <v>182</v>
      </c>
      <c r="O3" s="101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1" x14ac:dyDescent="0.25">
      <c r="A4" s="50">
        <v>1</v>
      </c>
      <c r="B4" s="86" t="str">
        <f>'survey priority'!A2</f>
        <v>NPAM</v>
      </c>
      <c r="C4" s="49">
        <f>'survey priority'!C2</f>
        <v>0.78679906542056088</v>
      </c>
      <c r="D4" s="88">
        <f>VLOOKUP(B4,'Survey Time'!$A$2:$C$30,2,FALSE)</f>
        <v>4.5999999999999996</v>
      </c>
      <c r="E4" s="50">
        <f>VLOOKUP(B4,'Survey Time'!$A$2:$C$30,3,FALSE)</f>
        <v>15</v>
      </c>
      <c r="F4" s="51">
        <f>C4/(D4*E4)</f>
        <v>1.1402885006095086E-2</v>
      </c>
      <c r="G4" s="43">
        <v>1</v>
      </c>
      <c r="H4" s="43">
        <v>1</v>
      </c>
      <c r="I4" s="43">
        <v>1</v>
      </c>
      <c r="J4" s="43">
        <v>1</v>
      </c>
      <c r="K4" s="43">
        <v>1</v>
      </c>
      <c r="L4" s="43">
        <v>0</v>
      </c>
      <c r="M4" s="43">
        <v>1</v>
      </c>
      <c r="N4" s="43">
        <v>1</v>
      </c>
      <c r="O4" s="43"/>
      <c r="P4" s="41"/>
      <c r="Q4" s="41"/>
      <c r="R4" s="41"/>
      <c r="S4" s="41"/>
      <c r="T4" s="41"/>
      <c r="U4" s="41"/>
      <c r="V4" s="41"/>
      <c r="W4" s="41"/>
      <c r="X4" s="41"/>
    </row>
    <row r="5" spans="1:41" s="91" customFormat="1" x14ac:dyDescent="0.25">
      <c r="A5" s="90">
        <v>2</v>
      </c>
      <c r="B5" s="108" t="str">
        <f>'survey priority'!A3</f>
        <v>Remnant Prairie Inventory</v>
      </c>
      <c r="C5" s="109">
        <f>'survey priority'!C3</f>
        <v>0.75759345794392541</v>
      </c>
      <c r="D5" s="110">
        <f>VLOOKUP(B5,'Survey Time'!$A$2:$C$30,2,FALSE)</f>
        <v>4.7</v>
      </c>
      <c r="E5" s="90">
        <f>VLOOKUP(B5,'Survey Time'!$A$2:$C$30,3,FALSE)</f>
        <v>8</v>
      </c>
      <c r="F5" s="109">
        <f t="shared" ref="F5:F29" si="0">C5/(D5*E5)</f>
        <v>2.0148762179359719E-2</v>
      </c>
      <c r="G5" s="52">
        <v>1</v>
      </c>
      <c r="H5" s="52">
        <v>1</v>
      </c>
      <c r="I5" s="52">
        <v>1</v>
      </c>
      <c r="J5" s="52">
        <v>1</v>
      </c>
      <c r="K5" s="52">
        <v>0</v>
      </c>
      <c r="L5" s="52">
        <v>1</v>
      </c>
      <c r="M5" s="52">
        <v>1</v>
      </c>
      <c r="N5" s="52">
        <v>0</v>
      </c>
      <c r="O5" s="52"/>
      <c r="P5" s="58"/>
      <c r="Q5" s="58"/>
      <c r="R5" s="58"/>
      <c r="S5" s="58"/>
      <c r="T5" s="58"/>
      <c r="U5" s="58"/>
      <c r="V5" s="58"/>
      <c r="W5" s="58"/>
      <c r="X5" s="58"/>
    </row>
    <row r="6" spans="1:41" s="91" customFormat="1" x14ac:dyDescent="0.25">
      <c r="A6" s="90">
        <v>3</v>
      </c>
      <c r="B6" s="108" t="str">
        <f>'survey priority'!A4</f>
        <v>Thistle Study</v>
      </c>
      <c r="C6" s="109">
        <f>'survey priority'!C4</f>
        <v>0.75175233644859807</v>
      </c>
      <c r="D6" s="110">
        <f>VLOOKUP(B6,'Survey Time'!$A$2:$C$30,2,FALSE)</f>
        <v>2.4</v>
      </c>
      <c r="E6" s="90">
        <f>VLOOKUP(B6,'Survey Time'!$A$2:$C$30,3,FALSE)</f>
        <v>1</v>
      </c>
      <c r="F6" s="109">
        <f t="shared" si="0"/>
        <v>0.31323014018691586</v>
      </c>
      <c r="G6" s="52">
        <v>1</v>
      </c>
      <c r="H6" s="52">
        <v>1</v>
      </c>
      <c r="I6" s="52">
        <v>1</v>
      </c>
      <c r="J6" s="52">
        <v>1</v>
      </c>
      <c r="K6" s="52">
        <v>1</v>
      </c>
      <c r="L6" s="52">
        <v>1</v>
      </c>
      <c r="M6" s="52">
        <v>1</v>
      </c>
      <c r="N6" s="52">
        <v>1</v>
      </c>
      <c r="O6" s="52"/>
      <c r="P6" s="58"/>
      <c r="Q6" s="58"/>
      <c r="R6" s="58"/>
      <c r="S6" s="58"/>
      <c r="T6" s="58"/>
      <c r="U6" s="58"/>
      <c r="V6" s="58"/>
      <c r="W6" s="58"/>
      <c r="X6" s="58"/>
    </row>
    <row r="7" spans="1:41" s="91" customFormat="1" x14ac:dyDescent="0.25">
      <c r="A7" s="90">
        <v>4</v>
      </c>
      <c r="B7" s="108" t="str">
        <f>'survey priority'!A5</f>
        <v>GMT</v>
      </c>
      <c r="C7" s="109">
        <f>'survey priority'!C5</f>
        <v>0.74785825545171336</v>
      </c>
      <c r="D7" s="110">
        <f>VLOOKUP(B7,'Survey Time'!$A$2:$C$30,2,FALSE)</f>
        <v>4.4000000000000004</v>
      </c>
      <c r="E7" s="90">
        <f>VLOOKUP(B7,'Survey Time'!$A$2:$C$30,3,FALSE)</f>
        <v>15</v>
      </c>
      <c r="F7" s="109">
        <f t="shared" si="0"/>
        <v>1.1331185688662324E-2</v>
      </c>
      <c r="G7" s="52">
        <v>1</v>
      </c>
      <c r="H7" s="52">
        <v>1</v>
      </c>
      <c r="I7" s="52">
        <v>1</v>
      </c>
      <c r="J7" s="52">
        <v>1</v>
      </c>
      <c r="K7" s="52">
        <v>1</v>
      </c>
      <c r="L7" s="52">
        <v>0</v>
      </c>
      <c r="M7" s="52">
        <v>1</v>
      </c>
      <c r="N7" s="52">
        <v>1</v>
      </c>
      <c r="O7" s="52"/>
      <c r="P7" s="58"/>
      <c r="Q7" s="58"/>
      <c r="R7" s="58"/>
      <c r="S7" s="58"/>
      <c r="T7" s="58"/>
      <c r="U7" s="58"/>
      <c r="V7" s="58"/>
      <c r="W7" s="58"/>
      <c r="X7" s="58"/>
    </row>
    <row r="8" spans="1:41" s="91" customFormat="1" x14ac:dyDescent="0.25">
      <c r="A8" s="90">
        <v>5</v>
      </c>
      <c r="B8" s="108" t="str">
        <f>'survey priority'!A6</f>
        <v>Sediment</v>
      </c>
      <c r="C8" s="109">
        <f>'survey priority'!C6</f>
        <v>0.67873831775700921</v>
      </c>
      <c r="D8" s="110">
        <f>VLOOKUP(B8,'Survey Time'!$A$2:$C$30,2,FALSE)</f>
        <v>1.3</v>
      </c>
      <c r="E8" s="90">
        <f>VLOOKUP(B8,'Survey Time'!$A$2:$C$30,3,FALSE)</f>
        <v>15</v>
      </c>
      <c r="F8" s="109">
        <f t="shared" si="0"/>
        <v>3.4807093218308167E-2</v>
      </c>
      <c r="G8" s="52">
        <v>1</v>
      </c>
      <c r="H8" s="52">
        <v>1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52">
        <v>1</v>
      </c>
      <c r="O8" s="52"/>
      <c r="P8" s="58"/>
      <c r="Q8" s="58"/>
      <c r="R8" s="58"/>
      <c r="S8" s="58"/>
      <c r="T8" s="58"/>
      <c r="U8" s="58"/>
      <c r="V8" s="58"/>
      <c r="W8" s="58"/>
      <c r="X8" s="58"/>
    </row>
    <row r="9" spans="1:41" s="91" customFormat="1" x14ac:dyDescent="0.25">
      <c r="A9" s="90">
        <v>6</v>
      </c>
      <c r="B9" s="108" t="str">
        <f>'survey priority'!A7</f>
        <v>Prairie Reconstruction</v>
      </c>
      <c r="C9" s="109">
        <f>'survey priority'!C7</f>
        <v>0.67387071651090324</v>
      </c>
      <c r="D9" s="110">
        <f>VLOOKUP(B9,'Survey Time'!$A$2:$C$30,2,FALSE)</f>
        <v>3</v>
      </c>
      <c r="E9" s="90">
        <f>VLOOKUP(B9,'Survey Time'!$A$2:$C$30,3,FALSE)</f>
        <v>15</v>
      </c>
      <c r="F9" s="109">
        <f t="shared" si="0"/>
        <v>1.4974904811353405E-2</v>
      </c>
      <c r="G9" s="52">
        <v>1</v>
      </c>
      <c r="H9" s="52">
        <v>1</v>
      </c>
      <c r="I9" s="52">
        <v>1</v>
      </c>
      <c r="J9" s="52">
        <v>1</v>
      </c>
      <c r="K9" s="52">
        <v>0</v>
      </c>
      <c r="L9" s="52">
        <v>0</v>
      </c>
      <c r="M9" s="52">
        <v>1</v>
      </c>
      <c r="N9" s="52">
        <v>0</v>
      </c>
      <c r="O9" s="52"/>
      <c r="P9" s="58"/>
      <c r="Q9" s="58"/>
      <c r="R9" s="58"/>
      <c r="S9" s="58"/>
      <c r="T9" s="58"/>
      <c r="U9" s="58"/>
      <c r="V9" s="58"/>
      <c r="W9" s="58"/>
      <c r="X9" s="58"/>
    </row>
    <row r="10" spans="1:41" s="91" customFormat="1" x14ac:dyDescent="0.25">
      <c r="A10" s="90">
        <v>7</v>
      </c>
      <c r="B10" s="108" t="str">
        <f>'survey priority'!A8</f>
        <v>Prairie Butterflies</v>
      </c>
      <c r="C10" s="109">
        <f>'survey priority'!C8</f>
        <v>0.67153426791277249</v>
      </c>
      <c r="D10" s="110">
        <f>VLOOKUP(B10,'Survey Time'!$A$2:$C$30,2,FALSE)</f>
        <v>1.2</v>
      </c>
      <c r="E10" s="90">
        <f>VLOOKUP(B10,'Survey Time'!$A$2:$C$30,3,FALSE)</f>
        <v>3</v>
      </c>
      <c r="F10" s="109">
        <f t="shared" si="0"/>
        <v>0.18653729664243682</v>
      </c>
      <c r="G10" s="52">
        <v>1</v>
      </c>
      <c r="H10" s="52">
        <v>1</v>
      </c>
      <c r="I10" s="52">
        <v>1</v>
      </c>
      <c r="J10" s="52">
        <v>0</v>
      </c>
      <c r="K10" s="52">
        <v>1</v>
      </c>
      <c r="L10" s="52">
        <v>1</v>
      </c>
      <c r="M10" s="52">
        <v>1</v>
      </c>
      <c r="N10" s="52">
        <v>1</v>
      </c>
      <c r="O10" s="52"/>
      <c r="P10" s="58"/>
      <c r="Q10" s="58"/>
      <c r="R10" s="58"/>
      <c r="S10" s="58"/>
      <c r="T10" s="58"/>
      <c r="U10" s="58"/>
      <c r="V10" s="58"/>
      <c r="W10" s="58"/>
      <c r="X10" s="58"/>
    </row>
    <row r="11" spans="1:41" s="91" customFormat="1" x14ac:dyDescent="0.25">
      <c r="A11" s="90">
        <v>8</v>
      </c>
      <c r="B11" s="108" t="str">
        <f>'survey priority'!A9</f>
        <v>Wetland Condition Assessment</v>
      </c>
      <c r="C11" s="109">
        <f>'survey priority'!C9</f>
        <v>0.66802959501557624</v>
      </c>
      <c r="D11" s="110">
        <f>VLOOKUP(B11,'Survey Time'!$A$2:$C$30,2,FALSE)</f>
        <v>6.6</v>
      </c>
      <c r="E11" s="90">
        <f>VLOOKUP(B11,'Survey Time'!$A$2:$C$30,3,FALSE)</f>
        <v>8</v>
      </c>
      <c r="F11" s="109">
        <f t="shared" si="0"/>
        <v>1.2652075663173792E-2</v>
      </c>
      <c r="G11" s="52">
        <v>1</v>
      </c>
      <c r="H11" s="52">
        <v>0</v>
      </c>
      <c r="I11" s="52">
        <v>1</v>
      </c>
      <c r="J11" s="52">
        <v>1</v>
      </c>
      <c r="K11" s="52">
        <v>0</v>
      </c>
      <c r="L11" s="52">
        <v>0</v>
      </c>
      <c r="M11" s="52">
        <v>1</v>
      </c>
      <c r="N11" s="52">
        <v>0</v>
      </c>
      <c r="O11" s="52"/>
      <c r="P11" s="58"/>
      <c r="Q11" s="58"/>
      <c r="R11" s="58"/>
      <c r="S11" s="58"/>
      <c r="T11" s="58"/>
      <c r="U11" s="58"/>
      <c r="V11" s="58"/>
      <c r="W11" s="58"/>
      <c r="X11" s="58"/>
    </row>
    <row r="12" spans="1:41" s="91" customFormat="1" x14ac:dyDescent="0.25">
      <c r="A12" s="90">
        <v>9</v>
      </c>
      <c r="B12" s="108" t="str">
        <f>'survey priority'!A10</f>
        <v>Grassland Bird Inventory</v>
      </c>
      <c r="C12" s="109">
        <f>'survey priority'!C10</f>
        <v>0.66802959501557624</v>
      </c>
      <c r="D12" s="110">
        <f>VLOOKUP(B12,'Survey Time'!$A$2:$C$30,2,FALSE)</f>
        <v>0.2</v>
      </c>
      <c r="E12" s="90">
        <f>VLOOKUP(B12,'Survey Time'!$A$2:$C$30,3,FALSE)</f>
        <v>1</v>
      </c>
      <c r="F12" s="109">
        <f t="shared" si="0"/>
        <v>3.3401479750778811</v>
      </c>
      <c r="G12" s="52">
        <v>1</v>
      </c>
      <c r="H12" s="52">
        <v>1</v>
      </c>
      <c r="I12" s="52">
        <v>1</v>
      </c>
      <c r="J12" s="52">
        <v>1</v>
      </c>
      <c r="K12" s="52">
        <v>1</v>
      </c>
      <c r="L12" s="52">
        <v>1</v>
      </c>
      <c r="M12" s="52">
        <v>1</v>
      </c>
      <c r="N12" s="52">
        <v>1</v>
      </c>
      <c r="O12" s="52"/>
      <c r="P12" s="58"/>
      <c r="Q12" s="58"/>
      <c r="R12" s="58"/>
      <c r="S12" s="58"/>
      <c r="T12" s="58"/>
      <c r="U12" s="58"/>
      <c r="V12" s="58"/>
      <c r="W12" s="58"/>
      <c r="X12" s="58"/>
    </row>
    <row r="13" spans="1:41" s="91" customFormat="1" x14ac:dyDescent="0.25">
      <c r="A13" s="90">
        <v>10</v>
      </c>
      <c r="B13" s="108" t="str">
        <f>'survey priority'!A11</f>
        <v>Invasive Species</v>
      </c>
      <c r="C13" s="109">
        <f>'survey priority'!C11</f>
        <v>0.6485591900311527</v>
      </c>
      <c r="D13" s="110">
        <f>VLOOKUP(B13,'Survey Time'!$A$2:$C$30,2,FALSE)</f>
        <v>9</v>
      </c>
      <c r="E13" s="90">
        <f>VLOOKUP(B13,'Survey Time'!$A$2:$C$30,3,FALSE)</f>
        <v>15</v>
      </c>
      <c r="F13" s="109">
        <f t="shared" si="0"/>
        <v>4.8041421483789089E-3</v>
      </c>
      <c r="G13" s="52">
        <v>1</v>
      </c>
      <c r="H13" s="52">
        <v>0</v>
      </c>
      <c r="I13" s="52">
        <v>1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/>
      <c r="P13" s="58"/>
      <c r="Q13" s="58"/>
      <c r="R13" s="58"/>
      <c r="S13" s="58"/>
      <c r="T13" s="58"/>
      <c r="U13" s="58"/>
      <c r="V13" s="58"/>
      <c r="W13" s="58"/>
      <c r="X13" s="58"/>
    </row>
    <row r="14" spans="1:41" s="91" customFormat="1" x14ac:dyDescent="0.25">
      <c r="A14" s="90">
        <v>11</v>
      </c>
      <c r="B14" s="108" t="str">
        <f>'survey priority'!A12</f>
        <v>FSM</v>
      </c>
      <c r="C14" s="109">
        <f>'survey priority'!C12</f>
        <v>0.64271806853582558</v>
      </c>
      <c r="D14" s="110">
        <f>VLOOKUP(B14,'Survey Time'!$A$2:$C$30,2,FALSE)</f>
        <v>7</v>
      </c>
      <c r="E14" s="90">
        <f>VLOOKUP(B14,'Survey Time'!$A$2:$C$30,3,FALSE)</f>
        <v>15</v>
      </c>
      <c r="F14" s="109">
        <f t="shared" si="0"/>
        <v>6.121124462245958E-3</v>
      </c>
      <c r="G14" s="52">
        <v>1</v>
      </c>
      <c r="H14" s="52">
        <v>0</v>
      </c>
      <c r="I14" s="52">
        <v>1</v>
      </c>
      <c r="J14" s="52">
        <v>1</v>
      </c>
      <c r="K14" s="52">
        <v>1</v>
      </c>
      <c r="L14" s="52">
        <v>0</v>
      </c>
      <c r="M14" s="52">
        <v>0</v>
      </c>
      <c r="N14" s="52">
        <v>1</v>
      </c>
      <c r="O14" s="52"/>
      <c r="P14" s="58"/>
      <c r="Q14" s="58"/>
      <c r="R14" s="58"/>
      <c r="S14" s="58"/>
      <c r="T14" s="58"/>
      <c r="U14" s="58"/>
      <c r="V14" s="58"/>
      <c r="W14" s="58"/>
      <c r="X14" s="58"/>
    </row>
    <row r="15" spans="1:41" s="91" customFormat="1" x14ac:dyDescent="0.25">
      <c r="A15" s="90">
        <v>12</v>
      </c>
      <c r="B15" s="108" t="str">
        <f>'survey priority'!A13</f>
        <v>Grazing Rapid Assessment</v>
      </c>
      <c r="C15" s="109">
        <f>'survey priority'!C13</f>
        <v>0.61643302180685366</v>
      </c>
      <c r="D15" s="110">
        <f>VLOOKUP(B15,'Survey Time'!$A$2:$C$30,2,FALSE)</f>
        <v>4</v>
      </c>
      <c r="E15" s="90">
        <f>VLOOKUP(B15,'Survey Time'!$A$2:$C$30,3,FALSE)</f>
        <v>15</v>
      </c>
      <c r="F15" s="109">
        <f t="shared" si="0"/>
        <v>1.0273883696780894E-2</v>
      </c>
      <c r="G15" s="52">
        <v>1</v>
      </c>
      <c r="H15" s="52">
        <v>0</v>
      </c>
      <c r="I15" s="52">
        <v>1</v>
      </c>
      <c r="J15" s="52">
        <v>1</v>
      </c>
      <c r="K15" s="52">
        <v>1</v>
      </c>
      <c r="L15" s="52">
        <v>0</v>
      </c>
      <c r="M15" s="52">
        <v>1</v>
      </c>
      <c r="N15" s="52">
        <v>0</v>
      </c>
      <c r="O15" s="52"/>
      <c r="P15" s="58"/>
      <c r="Q15" s="58"/>
      <c r="R15" s="58"/>
      <c r="S15" s="58"/>
      <c r="T15" s="58"/>
      <c r="U15" s="58"/>
      <c r="V15" s="58"/>
      <c r="W15" s="58"/>
      <c r="X15" s="58"/>
    </row>
    <row r="16" spans="1:41" s="91" customFormat="1" x14ac:dyDescent="0.25">
      <c r="A16" s="90">
        <v>13</v>
      </c>
      <c r="B16" s="108" t="str">
        <f>'survey priority'!A14</f>
        <v>Wetland Veg Monitoring</v>
      </c>
      <c r="C16" s="109">
        <f>'survey priority'!C14</f>
        <v>0.58430685358255452</v>
      </c>
      <c r="D16" s="110">
        <f>VLOOKUP(B16,'Survey Time'!$A$2:$C$30,2,FALSE)</f>
        <v>2.4</v>
      </c>
      <c r="E16" s="90">
        <f>VLOOKUP(B16,'Survey Time'!$A$2:$C$30,3,FALSE)</f>
        <v>2</v>
      </c>
      <c r="F16" s="109">
        <f t="shared" si="0"/>
        <v>0.12173059449636553</v>
      </c>
      <c r="G16" s="52">
        <v>1</v>
      </c>
      <c r="H16" s="52">
        <v>1</v>
      </c>
      <c r="I16" s="52">
        <v>1</v>
      </c>
      <c r="J16" s="52">
        <v>0</v>
      </c>
      <c r="K16" s="52">
        <v>1</v>
      </c>
      <c r="L16" s="52">
        <v>1</v>
      </c>
      <c r="M16" s="52">
        <v>0</v>
      </c>
      <c r="N16" s="52">
        <v>1</v>
      </c>
      <c r="O16" s="52"/>
      <c r="P16" s="58"/>
      <c r="Q16" s="58"/>
      <c r="R16" s="58"/>
      <c r="S16" s="58"/>
      <c r="T16" s="58"/>
      <c r="U16" s="58"/>
      <c r="V16" s="58"/>
      <c r="W16" s="58"/>
      <c r="X16" s="58"/>
    </row>
    <row r="17" spans="1:24" s="91" customFormat="1" x14ac:dyDescent="0.25">
      <c r="A17" s="90">
        <v>14</v>
      </c>
      <c r="B17" s="108" t="str">
        <f>'survey priority'!A15</f>
        <v>Glacial Lake Overspray</v>
      </c>
      <c r="C17" s="109">
        <f>'survey priority'!C15</f>
        <v>0.57165109034267914</v>
      </c>
      <c r="D17" s="110">
        <f>VLOOKUP(B17,'Survey Time'!$A$2:$C$30,2,FALSE)</f>
        <v>3.1</v>
      </c>
      <c r="E17" s="90">
        <f>VLOOKUP(B17,'Survey Time'!$A$2:$C$30,3,FALSE)</f>
        <v>1</v>
      </c>
      <c r="F17" s="109">
        <f t="shared" si="0"/>
        <v>0.1844035775298965</v>
      </c>
      <c r="G17" s="52">
        <v>1</v>
      </c>
      <c r="H17" s="52">
        <v>1</v>
      </c>
      <c r="I17" s="52">
        <v>0</v>
      </c>
      <c r="J17" s="52">
        <v>1</v>
      </c>
      <c r="K17" s="52">
        <v>1</v>
      </c>
      <c r="L17" s="52">
        <v>1</v>
      </c>
      <c r="M17" s="52">
        <v>0</v>
      </c>
      <c r="N17" s="52">
        <v>1</v>
      </c>
      <c r="O17" s="52"/>
      <c r="P17" s="58"/>
      <c r="Q17" s="58"/>
      <c r="R17" s="58"/>
      <c r="S17" s="58"/>
      <c r="T17" s="58"/>
      <c r="U17" s="58"/>
      <c r="V17" s="58"/>
      <c r="W17" s="58"/>
      <c r="X17" s="58"/>
    </row>
    <row r="18" spans="1:24" s="91" customFormat="1" x14ac:dyDescent="0.25">
      <c r="A18" s="90">
        <v>15</v>
      </c>
      <c r="B18" s="108" t="str">
        <f>'survey priority'!A16</f>
        <v>Wetland Resources Long-Term</v>
      </c>
      <c r="C18" s="109">
        <f>'survey priority'!C16</f>
        <v>0.55315420560747675</v>
      </c>
      <c r="D18" s="110">
        <f>VLOOKUP(B18,'Survey Time'!$A$2:$C$30,2,FALSE)</f>
        <v>5.7</v>
      </c>
      <c r="E18" s="90">
        <f>VLOOKUP(B18,'Survey Time'!$A$2:$C$30,3,FALSE)</f>
        <v>15</v>
      </c>
      <c r="F18" s="109">
        <f t="shared" si="0"/>
        <v>6.4696398316663947E-3</v>
      </c>
      <c r="G18" s="52">
        <v>1</v>
      </c>
      <c r="H18" s="52">
        <v>0</v>
      </c>
      <c r="I18" s="52">
        <v>0</v>
      </c>
      <c r="J18" s="52">
        <v>1</v>
      </c>
      <c r="K18" s="52">
        <v>1</v>
      </c>
      <c r="L18" s="52">
        <v>0</v>
      </c>
      <c r="M18" s="52">
        <v>0</v>
      </c>
      <c r="N18" s="52">
        <v>0</v>
      </c>
      <c r="O18" s="52"/>
      <c r="P18" s="58"/>
      <c r="Q18" s="58"/>
      <c r="R18" s="58"/>
      <c r="S18" s="58"/>
      <c r="T18" s="58"/>
      <c r="U18" s="58"/>
      <c r="V18" s="58"/>
      <c r="W18" s="58"/>
      <c r="X18" s="58"/>
    </row>
    <row r="19" spans="1:24" s="91" customFormat="1" x14ac:dyDescent="0.25">
      <c r="A19" s="90">
        <v>16</v>
      </c>
      <c r="B19" s="108" t="str">
        <f>'survey priority'!A17</f>
        <v>Contaminants and Wetland Inverts</v>
      </c>
      <c r="C19" s="109">
        <f>'survey priority'!C17</f>
        <v>0.54809190031152666</v>
      </c>
      <c r="D19" s="110">
        <f>VLOOKUP(B19,'Survey Time'!$A$2:$C$30,2,FALSE)</f>
        <v>4.5999999999999996</v>
      </c>
      <c r="E19" s="90">
        <f>VLOOKUP(B19,'Survey Time'!$A$2:$C$30,3,FALSE)</f>
        <v>2</v>
      </c>
      <c r="F19" s="109">
        <f t="shared" si="0"/>
        <v>5.9575206555600731E-2</v>
      </c>
      <c r="G19" s="52">
        <v>1</v>
      </c>
      <c r="H19" s="52">
        <v>1</v>
      </c>
      <c r="I19" s="52">
        <v>0</v>
      </c>
      <c r="J19" s="52">
        <v>0</v>
      </c>
      <c r="K19" s="52">
        <v>0</v>
      </c>
      <c r="L19" s="52">
        <v>1</v>
      </c>
      <c r="M19" s="52">
        <v>0</v>
      </c>
      <c r="N19" s="52">
        <v>0</v>
      </c>
      <c r="O19" s="52"/>
      <c r="P19" s="58"/>
      <c r="Q19" s="58"/>
      <c r="R19" s="58"/>
      <c r="S19" s="58"/>
      <c r="T19" s="58"/>
      <c r="U19" s="58"/>
      <c r="V19" s="58"/>
      <c r="W19" s="58"/>
      <c r="X19" s="58"/>
    </row>
    <row r="20" spans="1:24" s="91" customFormat="1" x14ac:dyDescent="0.25">
      <c r="A20" s="90">
        <v>17</v>
      </c>
      <c r="B20" s="108" t="str">
        <f>'survey priority'!A18</f>
        <v>Wild Rice</v>
      </c>
      <c r="C20" s="109">
        <f>'survey priority'!C18</f>
        <v>0.53271028037383183</v>
      </c>
      <c r="D20" s="110">
        <f>VLOOKUP(B20,'Survey Time'!$A$2:$C$30,2,FALSE)</f>
        <v>2.5</v>
      </c>
      <c r="E20" s="90">
        <f>VLOOKUP(B20,'Survey Time'!$A$2:$C$30,3,FALSE)</f>
        <v>15</v>
      </c>
      <c r="F20" s="109">
        <f t="shared" si="0"/>
        <v>1.4205607476635516E-2</v>
      </c>
      <c r="G20" s="52">
        <v>1</v>
      </c>
      <c r="H20" s="52">
        <v>1</v>
      </c>
      <c r="I20" s="52">
        <v>0</v>
      </c>
      <c r="J20" s="52">
        <v>1</v>
      </c>
      <c r="K20" s="52">
        <v>0</v>
      </c>
      <c r="L20" s="52">
        <v>1</v>
      </c>
      <c r="M20" s="52">
        <v>0</v>
      </c>
      <c r="N20" s="52">
        <v>0</v>
      </c>
      <c r="O20" s="52"/>
      <c r="P20" s="58"/>
      <c r="Q20" s="58"/>
      <c r="R20" s="58"/>
      <c r="S20" s="58"/>
      <c r="T20" s="58"/>
      <c r="U20" s="58"/>
      <c r="V20" s="58"/>
      <c r="W20" s="58"/>
      <c r="X20" s="58"/>
    </row>
    <row r="21" spans="1:24" s="91" customFormat="1" x14ac:dyDescent="0.25">
      <c r="A21" s="90">
        <v>18</v>
      </c>
      <c r="B21" s="108" t="str">
        <f>'survey priority'!A19</f>
        <v>IWMM</v>
      </c>
      <c r="C21" s="109">
        <f>'survey priority'!C19</f>
        <v>0.5025311526479751</v>
      </c>
      <c r="D21" s="110">
        <f>VLOOKUP(B21,'Survey Time'!$A$2:$C$30,2,FALSE)</f>
        <v>13.2</v>
      </c>
      <c r="E21" s="90">
        <f>VLOOKUP(B21,'Survey Time'!$A$2:$C$30,3,FALSE)</f>
        <v>15</v>
      </c>
      <c r="F21" s="109">
        <f t="shared" si="0"/>
        <v>2.5380361244847229E-3</v>
      </c>
      <c r="G21" s="52">
        <v>1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/>
      <c r="P21" s="58"/>
      <c r="Q21" s="58"/>
      <c r="R21" s="58"/>
      <c r="S21" s="58"/>
      <c r="T21" s="58"/>
      <c r="U21" s="58"/>
      <c r="V21" s="58"/>
      <c r="W21" s="58"/>
      <c r="X21" s="58"/>
    </row>
    <row r="22" spans="1:24" s="91" customFormat="1" x14ac:dyDescent="0.25">
      <c r="A22" s="90">
        <v>19</v>
      </c>
      <c r="B22" s="108" t="str">
        <f>'survey priority'!A20</f>
        <v>BBS</v>
      </c>
      <c r="C22" s="109">
        <f>'survey priority'!C20</f>
        <v>0.4830607476635515</v>
      </c>
      <c r="D22" s="110">
        <f>VLOOKUP(B22,'Survey Time'!$A$2:$C$30,2,FALSE)</f>
        <v>0.9</v>
      </c>
      <c r="E22" s="90">
        <f>VLOOKUP(B22,'Survey Time'!$A$2:$C$30,3,FALSE)</f>
        <v>15</v>
      </c>
      <c r="F22" s="109">
        <f t="shared" si="0"/>
        <v>3.5782277604707521E-2</v>
      </c>
      <c r="G22" s="52">
        <v>1</v>
      </c>
      <c r="H22" s="52">
        <v>1</v>
      </c>
      <c r="I22" s="52">
        <v>1</v>
      </c>
      <c r="J22" s="52">
        <v>1</v>
      </c>
      <c r="K22" s="52">
        <v>1</v>
      </c>
      <c r="L22" s="52">
        <v>1</v>
      </c>
      <c r="M22" s="52">
        <v>1</v>
      </c>
      <c r="N22" s="52">
        <v>1</v>
      </c>
      <c r="O22" s="52"/>
      <c r="P22" s="58"/>
      <c r="Q22" s="58"/>
      <c r="R22" s="58"/>
      <c r="S22" s="58"/>
      <c r="T22" s="58"/>
      <c r="U22" s="58"/>
      <c r="V22" s="58"/>
      <c r="W22" s="58"/>
      <c r="X22" s="58"/>
    </row>
    <row r="23" spans="1:24" s="91" customFormat="1" x14ac:dyDescent="0.25">
      <c r="A23" s="90">
        <v>20</v>
      </c>
      <c r="B23" s="108" t="str">
        <f>'survey priority'!A21</f>
        <v>Colonial Waterbirds</v>
      </c>
      <c r="C23" s="109">
        <f>'survey priority'!C21</f>
        <v>0.4635903426791278</v>
      </c>
      <c r="D23" s="110">
        <f>VLOOKUP(B23,'Survey Time'!$A$2:$C$30,2,FALSE)</f>
        <v>2.5</v>
      </c>
      <c r="E23" s="90">
        <f>VLOOKUP(B23,'Survey Time'!$A$2:$C$30,3,FALSE)</f>
        <v>3</v>
      </c>
      <c r="F23" s="109">
        <f t="shared" si="0"/>
        <v>6.181204569055037E-2</v>
      </c>
      <c r="G23" s="52">
        <v>1</v>
      </c>
      <c r="H23" s="52">
        <v>1</v>
      </c>
      <c r="I23" s="52">
        <v>0</v>
      </c>
      <c r="J23" s="52">
        <v>0</v>
      </c>
      <c r="K23" s="52">
        <v>1</v>
      </c>
      <c r="L23" s="52">
        <v>1</v>
      </c>
      <c r="M23" s="52">
        <v>0</v>
      </c>
      <c r="N23" s="52">
        <v>1</v>
      </c>
      <c r="O23" s="52"/>
      <c r="P23" s="58"/>
      <c r="Q23" s="58"/>
      <c r="R23" s="58"/>
      <c r="S23" s="58"/>
      <c r="T23" s="58"/>
      <c r="U23" s="58"/>
      <c r="V23" s="58"/>
      <c r="W23" s="58"/>
      <c r="X23" s="58"/>
    </row>
    <row r="24" spans="1:24" s="91" customFormat="1" x14ac:dyDescent="0.25">
      <c r="A24" s="90">
        <v>21</v>
      </c>
      <c r="B24" s="108" t="str">
        <f>'survey priority'!A22</f>
        <v>Darnen Water Quality</v>
      </c>
      <c r="C24" s="109">
        <f>'survey priority'!C22</f>
        <v>0.44509345794392535</v>
      </c>
      <c r="D24" s="110">
        <f>VLOOKUP(B24,'Survey Time'!$A$2:$C$30,2,FALSE)</f>
        <v>1.2</v>
      </c>
      <c r="E24" s="90">
        <f>VLOOKUP(B24,'Survey Time'!$A$2:$C$30,3,FALSE)</f>
        <v>3</v>
      </c>
      <c r="F24" s="109">
        <f t="shared" si="0"/>
        <v>0.12363707165109039</v>
      </c>
      <c r="G24" s="52">
        <v>1</v>
      </c>
      <c r="H24" s="52">
        <v>1</v>
      </c>
      <c r="I24" s="52">
        <v>0</v>
      </c>
      <c r="J24" s="52">
        <v>0</v>
      </c>
      <c r="K24" s="52">
        <v>1</v>
      </c>
      <c r="L24" s="52">
        <v>1</v>
      </c>
      <c r="M24" s="52">
        <v>1</v>
      </c>
      <c r="N24" s="52">
        <v>1</v>
      </c>
      <c r="O24" s="52"/>
      <c r="P24" s="58"/>
      <c r="Q24" s="58"/>
      <c r="R24" s="58"/>
      <c r="S24" s="58"/>
      <c r="T24" s="58"/>
      <c r="U24" s="58"/>
      <c r="V24" s="58"/>
      <c r="W24" s="58"/>
      <c r="X24" s="58"/>
    </row>
    <row r="25" spans="1:24" s="91" customFormat="1" x14ac:dyDescent="0.25">
      <c r="A25" s="90">
        <v>22</v>
      </c>
      <c r="B25" s="108" t="str">
        <f>'survey priority'!A23</f>
        <v>Water Levels</v>
      </c>
      <c r="C25" s="109">
        <f>'survey priority'!C23</f>
        <v>0.4450934579439253</v>
      </c>
      <c r="D25" s="110">
        <f>VLOOKUP(B25,'Survey Time'!$A$2:$C$30,2,FALSE)</f>
        <v>5</v>
      </c>
      <c r="E25" s="90">
        <f>VLOOKUP(B25,'Survey Time'!$A$2:$C$30,3,FALSE)</f>
        <v>15</v>
      </c>
      <c r="F25" s="109">
        <f t="shared" si="0"/>
        <v>5.9345794392523374E-3</v>
      </c>
      <c r="G25" s="52">
        <v>1</v>
      </c>
      <c r="H25" s="52">
        <v>0</v>
      </c>
      <c r="I25" s="52">
        <v>0</v>
      </c>
      <c r="J25" s="52">
        <v>1</v>
      </c>
      <c r="K25" s="52">
        <v>1</v>
      </c>
      <c r="L25" s="52">
        <v>0</v>
      </c>
      <c r="M25" s="52">
        <v>0</v>
      </c>
      <c r="N25" s="52">
        <v>0</v>
      </c>
      <c r="O25" s="52"/>
      <c r="P25" s="58"/>
      <c r="Q25" s="58"/>
      <c r="R25" s="58"/>
      <c r="S25" s="58"/>
      <c r="T25" s="58"/>
      <c r="U25" s="58"/>
      <c r="V25" s="58"/>
      <c r="W25" s="58"/>
      <c r="X25" s="58"/>
    </row>
    <row r="26" spans="1:24" s="91" customFormat="1" x14ac:dyDescent="0.25">
      <c r="A26" s="90">
        <v>23</v>
      </c>
      <c r="B26" s="108" t="str">
        <f>'survey priority'!A24</f>
        <v>Nest Stuctures</v>
      </c>
      <c r="C26" s="109">
        <f>'survey priority'!C24</f>
        <v>0.42426012461059193</v>
      </c>
      <c r="D26" s="110">
        <f>VLOOKUP(B26,'Survey Time'!$A$2:$C$30,2,FALSE)</f>
        <v>3.5</v>
      </c>
      <c r="E26" s="90">
        <f>VLOOKUP(B26,'Survey Time'!$A$2:$C$30,3,FALSE)</f>
        <v>15</v>
      </c>
      <c r="F26" s="109">
        <f t="shared" si="0"/>
        <v>8.0811452306779417E-3</v>
      </c>
      <c r="G26" s="52">
        <v>1</v>
      </c>
      <c r="H26" s="52">
        <v>0</v>
      </c>
      <c r="I26" s="52">
        <v>0</v>
      </c>
      <c r="J26" s="52">
        <v>1</v>
      </c>
      <c r="K26" s="52">
        <v>1</v>
      </c>
      <c r="L26" s="52">
        <v>0</v>
      </c>
      <c r="M26" s="52">
        <v>0</v>
      </c>
      <c r="N26" s="52">
        <v>0</v>
      </c>
      <c r="O26" s="52"/>
      <c r="P26" s="58"/>
      <c r="Q26" s="58"/>
      <c r="R26" s="58"/>
      <c r="S26" s="58"/>
      <c r="T26" s="58"/>
      <c r="U26" s="58"/>
      <c r="V26" s="58"/>
      <c r="W26" s="58"/>
      <c r="X26" s="58"/>
    </row>
    <row r="27" spans="1:24" s="91" customFormat="1" x14ac:dyDescent="0.25">
      <c r="A27" s="90">
        <v>24</v>
      </c>
      <c r="B27" s="108" t="str">
        <f>'survey priority'!A25</f>
        <v>Baseline Wildlife</v>
      </c>
      <c r="C27" s="109">
        <f>'survey priority'!C25</f>
        <v>0.41900311526479761</v>
      </c>
      <c r="D27" s="110">
        <f>VLOOKUP(B27,'Survey Time'!$A$2:$C$30,2,FALSE)</f>
        <v>6</v>
      </c>
      <c r="E27" s="90">
        <f>VLOOKUP(B27,'Survey Time'!$A$2:$C$30,3,FALSE)</f>
        <v>5</v>
      </c>
      <c r="F27" s="109">
        <f t="shared" si="0"/>
        <v>1.3966770508826587E-2</v>
      </c>
      <c r="G27" s="52">
        <v>1</v>
      </c>
      <c r="H27" s="52">
        <v>1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0</v>
      </c>
      <c r="O27" s="52"/>
      <c r="P27" s="58"/>
      <c r="Q27" s="58"/>
      <c r="R27" s="58"/>
      <c r="S27" s="58"/>
      <c r="T27" s="58"/>
      <c r="U27" s="58"/>
      <c r="V27" s="58"/>
      <c r="W27" s="58"/>
      <c r="X27" s="58"/>
    </row>
    <row r="28" spans="1:24" s="91" customFormat="1" x14ac:dyDescent="0.25">
      <c r="A28" s="90">
        <v>25</v>
      </c>
      <c r="B28" s="108" t="str">
        <f>'survey priority'!A26</f>
        <v>Woodcock Survey</v>
      </c>
      <c r="C28" s="109">
        <f>'survey priority'!C26</f>
        <v>0.35845015576323991</v>
      </c>
      <c r="D28" s="110">
        <f>VLOOKUP(B28,'Survey Time'!$A$2:$C$30,2,FALSE)</f>
        <v>0.6</v>
      </c>
      <c r="E28" s="90">
        <f>VLOOKUP(B28,'Survey Time'!$A$2:$C$30,3,FALSE)</f>
        <v>15</v>
      </c>
      <c r="F28" s="109">
        <f t="shared" si="0"/>
        <v>3.9827795084804433E-2</v>
      </c>
      <c r="G28" s="52">
        <v>1</v>
      </c>
      <c r="H28" s="52">
        <v>1</v>
      </c>
      <c r="I28" s="52">
        <v>1</v>
      </c>
      <c r="J28" s="52">
        <v>1</v>
      </c>
      <c r="K28" s="52">
        <v>1</v>
      </c>
      <c r="L28" s="52">
        <v>1</v>
      </c>
      <c r="M28" s="52">
        <v>0</v>
      </c>
      <c r="N28" s="52">
        <v>0</v>
      </c>
      <c r="O28" s="52"/>
      <c r="P28" s="58"/>
      <c r="Q28" s="58"/>
      <c r="R28" s="58"/>
      <c r="S28" s="58"/>
      <c r="T28" s="58"/>
      <c r="U28" s="58"/>
      <c r="V28" s="58"/>
      <c r="W28" s="58"/>
      <c r="X28" s="58"/>
    </row>
    <row r="29" spans="1:24" s="91" customFormat="1" x14ac:dyDescent="0.25">
      <c r="A29" s="90">
        <v>26</v>
      </c>
      <c r="B29" s="108" t="str">
        <f>'survey priority'!A27</f>
        <v>Relocating Prairie Chickens</v>
      </c>
      <c r="C29" s="109">
        <f>'survey priority'!C27</f>
        <v>0.35552959501557635</v>
      </c>
      <c r="D29" s="110">
        <f>VLOOKUP(B29,'Survey Time'!$A$2:$C$30,2,FALSE)</f>
        <v>2</v>
      </c>
      <c r="E29" s="90">
        <f>VLOOKUP(B29,'Survey Time'!$A$2:$C$30,3,FALSE)</f>
        <v>2</v>
      </c>
      <c r="F29" s="109">
        <f t="shared" si="0"/>
        <v>8.8882398753894087E-2</v>
      </c>
      <c r="G29" s="52">
        <v>1</v>
      </c>
      <c r="H29" s="52">
        <v>1</v>
      </c>
      <c r="I29" s="52">
        <v>0</v>
      </c>
      <c r="J29" s="52">
        <v>1</v>
      </c>
      <c r="K29" s="52">
        <v>1</v>
      </c>
      <c r="L29" s="52">
        <v>1</v>
      </c>
      <c r="M29" s="52">
        <v>0</v>
      </c>
      <c r="N29" s="52">
        <v>1</v>
      </c>
      <c r="O29" s="52"/>
      <c r="P29" s="58"/>
      <c r="Q29" s="58"/>
      <c r="R29" s="58"/>
      <c r="S29" s="58"/>
      <c r="T29" s="58"/>
      <c r="U29" s="58"/>
      <c r="V29" s="58"/>
      <c r="W29" s="58"/>
      <c r="X29" s="58"/>
    </row>
    <row r="30" spans="1:24" s="91" customFormat="1" x14ac:dyDescent="0.25">
      <c r="A30" s="90">
        <v>27</v>
      </c>
      <c r="B30" s="108" t="str">
        <f>'survey priority'!A28</f>
        <v>NAAMP</v>
      </c>
      <c r="C30" s="109">
        <f>'survey priority'!C28</f>
        <v>0.32340342679127726</v>
      </c>
      <c r="D30" s="110">
        <f>VLOOKUP(B30,'Survey Time'!$A$2:$C$30,2,FALSE)</f>
        <v>0.9</v>
      </c>
      <c r="E30" s="90">
        <f>VLOOKUP(B30,'Survey Time'!$A$2:$C$30,3,FALSE)</f>
        <v>15</v>
      </c>
      <c r="F30" s="109">
        <f t="shared" ref="F30:F53" si="1">C30/(D30*E30)</f>
        <v>2.3955809391946463E-2</v>
      </c>
      <c r="G30" s="52">
        <v>1</v>
      </c>
      <c r="H30" s="52">
        <v>1</v>
      </c>
      <c r="I30" s="52">
        <v>0</v>
      </c>
      <c r="J30" s="52">
        <v>1</v>
      </c>
      <c r="K30" s="52">
        <v>0</v>
      </c>
      <c r="L30" s="52">
        <v>1</v>
      </c>
      <c r="M30" s="52">
        <v>0</v>
      </c>
      <c r="N30" s="52">
        <v>1</v>
      </c>
      <c r="O30" s="52"/>
      <c r="P30" s="58"/>
      <c r="Q30" s="58"/>
      <c r="R30" s="58"/>
      <c r="S30" s="58"/>
      <c r="T30" s="58"/>
      <c r="U30" s="58"/>
      <c r="V30" s="58"/>
      <c r="W30" s="58"/>
      <c r="X30" s="58"/>
    </row>
    <row r="31" spans="1:24" s="91" customFormat="1" x14ac:dyDescent="0.25">
      <c r="A31" s="90">
        <v>28</v>
      </c>
      <c r="B31" s="108" t="str">
        <f>'survey priority'!A29</f>
        <v>Dove Banding</v>
      </c>
      <c r="C31" s="109">
        <f>'survey priority'!C29</f>
        <v>0.30977414330218073</v>
      </c>
      <c r="D31" s="110">
        <f>VLOOKUP(B31,'Survey Time'!$A$2:$C$30,2,FALSE)</f>
        <v>2.7</v>
      </c>
      <c r="E31" s="90">
        <f>VLOOKUP(B31,'Survey Time'!$A$2:$C$30,3,FALSE)</f>
        <v>15</v>
      </c>
      <c r="F31" s="109">
        <f t="shared" si="1"/>
        <v>7.648744279066191E-3</v>
      </c>
      <c r="G31" s="52">
        <v>1</v>
      </c>
      <c r="H31" s="52">
        <v>1</v>
      </c>
      <c r="I31" s="52">
        <v>0</v>
      </c>
      <c r="J31" s="52">
        <v>1</v>
      </c>
      <c r="K31" s="52">
        <v>0</v>
      </c>
      <c r="L31" s="52">
        <v>1</v>
      </c>
      <c r="M31" s="52">
        <v>0</v>
      </c>
      <c r="N31" s="52">
        <v>0</v>
      </c>
      <c r="O31" s="52"/>
      <c r="P31" s="58"/>
      <c r="Q31" s="58"/>
      <c r="R31" s="58"/>
      <c r="S31" s="58"/>
      <c r="T31" s="58"/>
      <c r="U31" s="58"/>
      <c r="V31" s="58"/>
      <c r="W31" s="58"/>
      <c r="X31" s="58"/>
    </row>
    <row r="32" spans="1:24" s="91" customFormat="1" x14ac:dyDescent="0.25">
      <c r="A32" s="90">
        <v>29</v>
      </c>
      <c r="B32" s="108" t="str">
        <f>'survey priority'!A30</f>
        <v>CBC</v>
      </c>
      <c r="C32" s="109">
        <f>'survey priority'!C30</f>
        <v>0.26499221183800625</v>
      </c>
      <c r="D32" s="110">
        <f>VLOOKUP(B32,'Survey Time'!$A$2:$C$30,2,FALSE)</f>
        <v>1</v>
      </c>
      <c r="E32" s="90">
        <f>VLOOKUP(B32,'Survey Time'!$A$2:$C$30,3,FALSE)</f>
        <v>15</v>
      </c>
      <c r="F32" s="109">
        <f t="shared" si="1"/>
        <v>1.7666147455867084E-2</v>
      </c>
      <c r="G32" s="52">
        <v>1</v>
      </c>
      <c r="H32" s="52">
        <v>1</v>
      </c>
      <c r="I32" s="52">
        <v>0</v>
      </c>
      <c r="J32" s="52">
        <v>1</v>
      </c>
      <c r="K32" s="52">
        <v>0</v>
      </c>
      <c r="L32" s="52">
        <v>1</v>
      </c>
      <c r="M32" s="52">
        <v>0</v>
      </c>
      <c r="N32" s="52">
        <v>0</v>
      </c>
      <c r="O32" s="52"/>
      <c r="P32" s="58"/>
      <c r="Q32" s="58"/>
      <c r="R32" s="58"/>
      <c r="S32" s="58"/>
      <c r="T32" s="58"/>
      <c r="U32" s="58"/>
      <c r="V32" s="58"/>
      <c r="W32" s="58"/>
      <c r="X32" s="58"/>
    </row>
    <row r="33" spans="1:24" s="91" customFormat="1" hidden="1" x14ac:dyDescent="0.25">
      <c r="A33" s="90">
        <v>30</v>
      </c>
      <c r="B33" s="108" t="e">
        <f>'survey priority'!#REF!</f>
        <v>#REF!</v>
      </c>
      <c r="C33" s="109" t="e">
        <f>'survey priority'!#REF!</f>
        <v>#REF!</v>
      </c>
      <c r="D33" s="110" t="e">
        <f>VLOOKUP(B33,'Survey Time'!$A$2:$C$30,2,FALSE)</f>
        <v>#REF!</v>
      </c>
      <c r="E33" s="90" t="e">
        <f>VLOOKUP(B33,'Survey Time'!$A$2:$C$30,3,FALSE)</f>
        <v>#REF!</v>
      </c>
      <c r="F33" s="109" t="e">
        <f t="shared" si="1"/>
        <v>#REF!</v>
      </c>
      <c r="G33" s="52">
        <v>0</v>
      </c>
      <c r="H33" s="52">
        <v>0</v>
      </c>
      <c r="I33" s="52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8">
        <v>0</v>
      </c>
      <c r="Q33" s="58"/>
      <c r="R33" s="58"/>
      <c r="S33" s="58"/>
      <c r="T33" s="58"/>
      <c r="U33" s="58"/>
      <c r="V33" s="58"/>
      <c r="W33" s="58"/>
      <c r="X33" s="58"/>
    </row>
    <row r="34" spans="1:24" s="91" customFormat="1" hidden="1" x14ac:dyDescent="0.25">
      <c r="A34" s="90">
        <v>31</v>
      </c>
      <c r="B34" s="108" t="e">
        <f>'survey priority'!#REF!</f>
        <v>#REF!</v>
      </c>
      <c r="C34" s="109" t="e">
        <f>'survey priority'!#REF!</f>
        <v>#REF!</v>
      </c>
      <c r="D34" s="110" t="e">
        <f>VLOOKUP(B34,'Survey Time'!$A$2:$C$30,2,FALSE)</f>
        <v>#REF!</v>
      </c>
      <c r="E34" s="90" t="e">
        <f>VLOOKUP(B34,'Survey Time'!$A$2:$C$30,3,FALSE)</f>
        <v>#REF!</v>
      </c>
      <c r="F34" s="109" t="e">
        <f t="shared" si="1"/>
        <v>#REF!</v>
      </c>
      <c r="G34" s="52">
        <v>0</v>
      </c>
      <c r="H34" s="52">
        <v>0</v>
      </c>
      <c r="I34" s="52"/>
      <c r="J34" s="52">
        <v>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8">
        <v>0</v>
      </c>
      <c r="Q34" s="58"/>
      <c r="R34" s="58"/>
      <c r="S34" s="58"/>
      <c r="T34" s="58"/>
      <c r="U34" s="58"/>
      <c r="V34" s="58"/>
      <c r="W34" s="58"/>
      <c r="X34" s="58"/>
    </row>
    <row r="35" spans="1:24" s="91" customFormat="1" hidden="1" x14ac:dyDescent="0.25">
      <c r="A35" s="90">
        <v>32</v>
      </c>
      <c r="B35" s="108" t="e">
        <f>'survey priority'!#REF!</f>
        <v>#REF!</v>
      </c>
      <c r="C35" s="109" t="e">
        <f>'survey priority'!#REF!</f>
        <v>#REF!</v>
      </c>
      <c r="D35" s="110" t="e">
        <f>VLOOKUP(B35,'Survey Time'!$A$2:$C$30,2,FALSE)</f>
        <v>#REF!</v>
      </c>
      <c r="E35" s="90" t="e">
        <f>VLOOKUP(B35,'Survey Time'!$A$2:$C$30,3,FALSE)</f>
        <v>#REF!</v>
      </c>
      <c r="F35" s="109" t="e">
        <f t="shared" si="1"/>
        <v>#REF!</v>
      </c>
      <c r="G35" s="52">
        <v>0</v>
      </c>
      <c r="H35" s="52">
        <v>0</v>
      </c>
      <c r="I35" s="52"/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8">
        <v>0</v>
      </c>
      <c r="Q35" s="58"/>
      <c r="R35" s="58"/>
      <c r="S35" s="58"/>
      <c r="T35" s="58"/>
      <c r="U35" s="58"/>
      <c r="V35" s="58"/>
      <c r="W35" s="58"/>
      <c r="X35" s="58"/>
    </row>
    <row r="36" spans="1:24" s="91" customFormat="1" hidden="1" x14ac:dyDescent="0.25">
      <c r="A36" s="90">
        <v>33</v>
      </c>
      <c r="B36" s="108" t="e">
        <f>'survey priority'!#REF!</f>
        <v>#REF!</v>
      </c>
      <c r="C36" s="109" t="e">
        <f>'survey priority'!#REF!</f>
        <v>#REF!</v>
      </c>
      <c r="D36" s="110" t="e">
        <f>VLOOKUP(B36,'Survey Time'!$A$2:$C$30,2,FALSE)</f>
        <v>#REF!</v>
      </c>
      <c r="E36" s="90" t="e">
        <f>VLOOKUP(B36,'Survey Time'!$A$2:$C$30,3,FALSE)</f>
        <v>#REF!</v>
      </c>
      <c r="F36" s="109" t="e">
        <f t="shared" si="1"/>
        <v>#REF!</v>
      </c>
      <c r="G36" s="52">
        <v>0</v>
      </c>
      <c r="H36" s="52">
        <v>0</v>
      </c>
      <c r="I36" s="52"/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8">
        <v>0</v>
      </c>
      <c r="Q36" s="58"/>
      <c r="R36" s="58"/>
      <c r="S36" s="58"/>
      <c r="T36" s="58"/>
      <c r="U36" s="58"/>
      <c r="V36" s="58"/>
      <c r="W36" s="58"/>
      <c r="X36" s="58"/>
    </row>
    <row r="37" spans="1:24" s="91" customFormat="1" hidden="1" x14ac:dyDescent="0.25">
      <c r="A37" s="90">
        <v>34</v>
      </c>
      <c r="B37" s="108" t="e">
        <f>'survey priority'!#REF!</f>
        <v>#REF!</v>
      </c>
      <c r="C37" s="109" t="e">
        <f>'survey priority'!#REF!</f>
        <v>#REF!</v>
      </c>
      <c r="D37" s="110" t="e">
        <f>VLOOKUP(B37,'Survey Time'!$A$2:$C$30,2,FALSE)</f>
        <v>#REF!</v>
      </c>
      <c r="E37" s="90" t="e">
        <f>VLOOKUP(B37,'Survey Time'!$A$2:$C$30,3,FALSE)</f>
        <v>#REF!</v>
      </c>
      <c r="F37" s="109" t="e">
        <f t="shared" si="1"/>
        <v>#REF!</v>
      </c>
      <c r="G37" s="52">
        <v>0</v>
      </c>
      <c r="H37" s="52">
        <v>0</v>
      </c>
      <c r="I37" s="52"/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8">
        <v>0</v>
      </c>
      <c r="Q37" s="58"/>
      <c r="R37" s="58"/>
      <c r="S37" s="58"/>
      <c r="T37" s="58"/>
      <c r="U37" s="58"/>
      <c r="V37" s="58"/>
      <c r="W37" s="58"/>
      <c r="X37" s="58"/>
    </row>
    <row r="38" spans="1:24" s="91" customFormat="1" hidden="1" x14ac:dyDescent="0.25">
      <c r="A38" s="90">
        <v>35</v>
      </c>
      <c r="B38" s="108" t="e">
        <f>'survey priority'!#REF!</f>
        <v>#REF!</v>
      </c>
      <c r="C38" s="109" t="e">
        <f>'survey priority'!#REF!</f>
        <v>#REF!</v>
      </c>
      <c r="D38" s="110" t="e">
        <f>VLOOKUP(B38,'Survey Time'!$A$2:$C$30,2,FALSE)</f>
        <v>#REF!</v>
      </c>
      <c r="E38" s="90" t="e">
        <f>VLOOKUP(B38,'Survey Time'!$A$2:$C$30,3,FALSE)</f>
        <v>#REF!</v>
      </c>
      <c r="F38" s="109" t="e">
        <f t="shared" si="1"/>
        <v>#REF!</v>
      </c>
      <c r="G38" s="52">
        <v>0</v>
      </c>
      <c r="H38" s="52">
        <v>0</v>
      </c>
      <c r="I38" s="52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8">
        <v>0</v>
      </c>
      <c r="Q38" s="58"/>
      <c r="R38" s="58"/>
      <c r="S38" s="58"/>
      <c r="T38" s="58"/>
      <c r="U38" s="58"/>
      <c r="V38" s="58"/>
      <c r="W38" s="58"/>
      <c r="X38" s="58"/>
    </row>
    <row r="39" spans="1:24" s="91" customFormat="1" hidden="1" x14ac:dyDescent="0.25">
      <c r="A39" s="90">
        <v>36</v>
      </c>
      <c r="B39" s="108" t="e">
        <f>'survey priority'!#REF!</f>
        <v>#REF!</v>
      </c>
      <c r="C39" s="109" t="e">
        <f>'survey priority'!#REF!</f>
        <v>#REF!</v>
      </c>
      <c r="D39" s="110" t="e">
        <f>VLOOKUP(B39,'Survey Time'!$A$2:$C$30,2,FALSE)</f>
        <v>#REF!</v>
      </c>
      <c r="E39" s="90" t="e">
        <f>VLOOKUP(B39,'Survey Time'!$A$2:$C$30,3,FALSE)</f>
        <v>#REF!</v>
      </c>
      <c r="F39" s="109" t="e">
        <f t="shared" si="1"/>
        <v>#REF!</v>
      </c>
      <c r="G39" s="52">
        <v>0</v>
      </c>
      <c r="H39" s="52">
        <v>0</v>
      </c>
      <c r="I39" s="52"/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8">
        <v>0</v>
      </c>
      <c r="Q39" s="58"/>
      <c r="R39" s="58"/>
      <c r="S39" s="58"/>
      <c r="T39" s="58"/>
      <c r="U39" s="58"/>
      <c r="V39" s="58"/>
      <c r="W39" s="58"/>
      <c r="X39" s="58"/>
    </row>
    <row r="40" spans="1:24" s="91" customFormat="1" hidden="1" x14ac:dyDescent="0.25">
      <c r="A40" s="90">
        <v>37</v>
      </c>
      <c r="B40" s="108" t="e">
        <f>'survey priority'!#REF!</f>
        <v>#REF!</v>
      </c>
      <c r="C40" s="109" t="e">
        <f>'survey priority'!#REF!</f>
        <v>#REF!</v>
      </c>
      <c r="D40" s="110" t="e">
        <f>VLOOKUP(B40,'Survey Time'!$A$2:$C$30,2,FALSE)</f>
        <v>#REF!</v>
      </c>
      <c r="E40" s="90" t="e">
        <f>VLOOKUP(B40,'Survey Time'!$A$2:$C$30,3,FALSE)</f>
        <v>#REF!</v>
      </c>
      <c r="F40" s="109" t="e">
        <f t="shared" si="1"/>
        <v>#REF!</v>
      </c>
      <c r="G40" s="52">
        <v>0</v>
      </c>
      <c r="H40" s="52">
        <v>0</v>
      </c>
      <c r="I40" s="52"/>
      <c r="J40" s="52">
        <v>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8">
        <v>0</v>
      </c>
      <c r="Q40" s="58"/>
      <c r="R40" s="58"/>
      <c r="S40" s="58"/>
      <c r="T40" s="58"/>
      <c r="U40" s="58"/>
      <c r="V40" s="58"/>
      <c r="W40" s="58"/>
      <c r="X40" s="58"/>
    </row>
    <row r="41" spans="1:24" s="91" customFormat="1" hidden="1" x14ac:dyDescent="0.25">
      <c r="A41" s="90">
        <v>38</v>
      </c>
      <c r="B41" s="108" t="e">
        <f>'survey priority'!#REF!</f>
        <v>#REF!</v>
      </c>
      <c r="C41" s="109" t="e">
        <f>'survey priority'!#REF!</f>
        <v>#REF!</v>
      </c>
      <c r="D41" s="110" t="e">
        <f>VLOOKUP(B41,'Survey Time'!$A$2:$C$30,2,FALSE)</f>
        <v>#REF!</v>
      </c>
      <c r="E41" s="90" t="e">
        <f>VLOOKUP(B41,'Survey Time'!$A$2:$C$30,3,FALSE)</f>
        <v>#REF!</v>
      </c>
      <c r="F41" s="109" t="e">
        <f t="shared" si="1"/>
        <v>#REF!</v>
      </c>
      <c r="G41" s="52">
        <v>0</v>
      </c>
      <c r="H41" s="52">
        <v>0</v>
      </c>
      <c r="I41" s="52"/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8">
        <v>0</v>
      </c>
      <c r="Q41" s="58"/>
      <c r="R41" s="58"/>
      <c r="S41" s="58"/>
      <c r="T41" s="58"/>
      <c r="U41" s="58"/>
      <c r="V41" s="58"/>
      <c r="W41" s="58"/>
      <c r="X41" s="58"/>
    </row>
    <row r="42" spans="1:24" s="91" customFormat="1" hidden="1" x14ac:dyDescent="0.25">
      <c r="A42" s="90">
        <v>39</v>
      </c>
      <c r="B42" s="108" t="e">
        <f>'survey priority'!#REF!</f>
        <v>#REF!</v>
      </c>
      <c r="C42" s="109" t="e">
        <f>'survey priority'!#REF!</f>
        <v>#REF!</v>
      </c>
      <c r="D42" s="110" t="e">
        <f>VLOOKUP(B42,'Survey Time'!$A$2:$C$30,2,FALSE)</f>
        <v>#REF!</v>
      </c>
      <c r="E42" s="90" t="e">
        <f>VLOOKUP(B42,'Survey Time'!$A$2:$C$30,3,FALSE)</f>
        <v>#REF!</v>
      </c>
      <c r="F42" s="109" t="e">
        <f t="shared" si="1"/>
        <v>#REF!</v>
      </c>
      <c r="G42" s="52">
        <v>0</v>
      </c>
      <c r="H42" s="52">
        <v>0</v>
      </c>
      <c r="I42" s="52"/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8">
        <v>0</v>
      </c>
      <c r="Q42" s="58"/>
      <c r="R42" s="58"/>
      <c r="S42" s="58"/>
      <c r="T42" s="58"/>
      <c r="U42" s="58"/>
      <c r="V42" s="58"/>
      <c r="W42" s="58"/>
      <c r="X42" s="58"/>
    </row>
    <row r="43" spans="1:24" s="91" customFormat="1" hidden="1" x14ac:dyDescent="0.25">
      <c r="A43" s="90">
        <v>40</v>
      </c>
      <c r="B43" s="108" t="e">
        <f>'survey priority'!#REF!</f>
        <v>#REF!</v>
      </c>
      <c r="C43" s="109" t="e">
        <f>'survey priority'!#REF!</f>
        <v>#REF!</v>
      </c>
      <c r="D43" s="110" t="e">
        <f>VLOOKUP(B43,'Survey Time'!$A$2:$C$30,2,FALSE)</f>
        <v>#REF!</v>
      </c>
      <c r="E43" s="90" t="e">
        <f>VLOOKUP(B43,'Survey Time'!$A$2:$C$30,3,FALSE)</f>
        <v>#REF!</v>
      </c>
      <c r="F43" s="109" t="e">
        <f t="shared" si="1"/>
        <v>#REF!</v>
      </c>
      <c r="G43" s="52">
        <v>0</v>
      </c>
      <c r="H43" s="52">
        <v>0</v>
      </c>
      <c r="I43" s="52"/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8">
        <v>0</v>
      </c>
      <c r="Q43" s="58"/>
      <c r="R43" s="58"/>
      <c r="S43" s="58"/>
      <c r="T43" s="58"/>
      <c r="U43" s="58"/>
      <c r="V43" s="58"/>
      <c r="W43" s="58"/>
      <c r="X43" s="58"/>
    </row>
    <row r="44" spans="1:24" s="91" customFormat="1" hidden="1" x14ac:dyDescent="0.25">
      <c r="A44" s="90">
        <v>41</v>
      </c>
      <c r="B44" s="108" t="e">
        <f>'survey priority'!#REF!</f>
        <v>#REF!</v>
      </c>
      <c r="C44" s="109" t="e">
        <f>'survey priority'!#REF!</f>
        <v>#REF!</v>
      </c>
      <c r="D44" s="110" t="e">
        <f>VLOOKUP(B44,'Survey Time'!$A$2:$C$30,2,FALSE)</f>
        <v>#REF!</v>
      </c>
      <c r="E44" s="90" t="e">
        <f>VLOOKUP(B44,'Survey Time'!$A$2:$C$30,3,FALSE)</f>
        <v>#REF!</v>
      </c>
      <c r="F44" s="109" t="e">
        <f t="shared" si="1"/>
        <v>#REF!</v>
      </c>
      <c r="G44" s="52">
        <v>0</v>
      </c>
      <c r="H44" s="52">
        <v>0</v>
      </c>
      <c r="I44" s="52"/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8">
        <v>0</v>
      </c>
      <c r="Q44" s="58"/>
      <c r="R44" s="58"/>
      <c r="S44" s="58"/>
      <c r="T44" s="58"/>
      <c r="U44" s="58"/>
      <c r="V44" s="58"/>
      <c r="W44" s="58"/>
      <c r="X44" s="58"/>
    </row>
    <row r="45" spans="1:24" s="91" customFormat="1" hidden="1" x14ac:dyDescent="0.25">
      <c r="A45" s="90">
        <v>42</v>
      </c>
      <c r="B45" s="108" t="e">
        <f>'survey priority'!#REF!</f>
        <v>#REF!</v>
      </c>
      <c r="C45" s="109" t="e">
        <f>'survey priority'!#REF!</f>
        <v>#REF!</v>
      </c>
      <c r="D45" s="110" t="e">
        <f>VLOOKUP(B45,'Survey Time'!$A$2:$C$30,2,FALSE)</f>
        <v>#REF!</v>
      </c>
      <c r="E45" s="90" t="e">
        <f>VLOOKUP(B45,'Survey Time'!$A$2:$C$30,3,FALSE)</f>
        <v>#REF!</v>
      </c>
      <c r="F45" s="109" t="e">
        <f t="shared" si="1"/>
        <v>#REF!</v>
      </c>
      <c r="G45" s="52">
        <v>0</v>
      </c>
      <c r="H45" s="52">
        <v>0</v>
      </c>
      <c r="I45" s="52"/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8">
        <v>0</v>
      </c>
      <c r="Q45" s="58"/>
      <c r="R45" s="58"/>
      <c r="S45" s="58"/>
      <c r="T45" s="58"/>
      <c r="U45" s="58"/>
      <c r="V45" s="58"/>
      <c r="W45" s="58"/>
      <c r="X45" s="58"/>
    </row>
    <row r="46" spans="1:24" s="91" customFormat="1" hidden="1" x14ac:dyDescent="0.25">
      <c r="A46" s="90">
        <v>43</v>
      </c>
      <c r="B46" s="108" t="e">
        <f>'survey priority'!#REF!</f>
        <v>#REF!</v>
      </c>
      <c r="C46" s="109" t="e">
        <f>'survey priority'!#REF!</f>
        <v>#REF!</v>
      </c>
      <c r="D46" s="110" t="e">
        <f>VLOOKUP(B46,'Survey Time'!$A$2:$C$30,2,FALSE)</f>
        <v>#REF!</v>
      </c>
      <c r="E46" s="90" t="e">
        <f>VLOOKUP(B46,'Survey Time'!$A$2:$C$30,3,FALSE)</f>
        <v>#REF!</v>
      </c>
      <c r="F46" s="109" t="e">
        <f t="shared" si="1"/>
        <v>#REF!</v>
      </c>
      <c r="G46" s="52">
        <v>0</v>
      </c>
      <c r="H46" s="52">
        <v>0</v>
      </c>
      <c r="I46" s="52"/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8">
        <v>0</v>
      </c>
      <c r="Q46" s="58"/>
      <c r="R46" s="58"/>
      <c r="S46" s="58"/>
      <c r="T46" s="58"/>
      <c r="U46" s="58"/>
      <c r="V46" s="58"/>
      <c r="W46" s="58"/>
      <c r="X46" s="58"/>
    </row>
    <row r="47" spans="1:24" s="91" customFormat="1" hidden="1" x14ac:dyDescent="0.25">
      <c r="A47" s="90">
        <v>44</v>
      </c>
      <c r="B47" s="108" t="e">
        <f>'survey priority'!#REF!</f>
        <v>#REF!</v>
      </c>
      <c r="C47" s="109" t="e">
        <f>'survey priority'!#REF!</f>
        <v>#REF!</v>
      </c>
      <c r="D47" s="110" t="e">
        <f>VLOOKUP(B47,'Survey Time'!$A$2:$C$30,2,FALSE)</f>
        <v>#REF!</v>
      </c>
      <c r="E47" s="90" t="e">
        <f>VLOOKUP(B47,'Survey Time'!$A$2:$C$30,3,FALSE)</f>
        <v>#REF!</v>
      </c>
      <c r="F47" s="109" t="e">
        <f t="shared" si="1"/>
        <v>#REF!</v>
      </c>
      <c r="G47" s="52">
        <v>0</v>
      </c>
      <c r="H47" s="52">
        <v>0</v>
      </c>
      <c r="I47" s="52"/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8">
        <v>0</v>
      </c>
      <c r="Q47" s="58"/>
      <c r="R47" s="58"/>
      <c r="S47" s="58"/>
      <c r="T47" s="58"/>
      <c r="U47" s="58"/>
      <c r="V47" s="58"/>
      <c r="W47" s="58"/>
      <c r="X47" s="58"/>
    </row>
    <row r="48" spans="1:24" s="91" customFormat="1" hidden="1" x14ac:dyDescent="0.25">
      <c r="A48" s="90">
        <v>45</v>
      </c>
      <c r="B48" s="108" t="e">
        <f>'survey priority'!#REF!</f>
        <v>#REF!</v>
      </c>
      <c r="C48" s="109" t="e">
        <f>'survey priority'!#REF!</f>
        <v>#REF!</v>
      </c>
      <c r="D48" s="110" t="e">
        <f>VLOOKUP(B48,'Survey Time'!$A$2:$C$30,2,FALSE)</f>
        <v>#REF!</v>
      </c>
      <c r="E48" s="90" t="e">
        <f>VLOOKUP(B48,'Survey Time'!$A$2:$C$30,3,FALSE)</f>
        <v>#REF!</v>
      </c>
      <c r="F48" s="109" t="e">
        <f t="shared" si="1"/>
        <v>#REF!</v>
      </c>
      <c r="G48" s="52">
        <v>0</v>
      </c>
      <c r="H48" s="52">
        <v>0</v>
      </c>
      <c r="I48" s="52"/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8">
        <v>0</v>
      </c>
      <c r="Q48" s="58"/>
      <c r="R48" s="58"/>
      <c r="S48" s="58"/>
      <c r="T48" s="58"/>
      <c r="U48" s="58"/>
      <c r="V48" s="58"/>
      <c r="W48" s="58"/>
      <c r="X48" s="58"/>
    </row>
    <row r="49" spans="1:41" s="91" customFormat="1" hidden="1" x14ac:dyDescent="0.25">
      <c r="A49" s="90">
        <v>46</v>
      </c>
      <c r="B49" s="108" t="e">
        <f>'survey priority'!#REF!</f>
        <v>#REF!</v>
      </c>
      <c r="C49" s="109" t="e">
        <f>'survey priority'!#REF!</f>
        <v>#REF!</v>
      </c>
      <c r="D49" s="110" t="e">
        <f>VLOOKUP(B49,'Survey Time'!$A$2:$C$30,2,FALSE)</f>
        <v>#REF!</v>
      </c>
      <c r="E49" s="90" t="e">
        <f>VLOOKUP(B49,'Survey Time'!$A$2:$C$30,3,FALSE)</f>
        <v>#REF!</v>
      </c>
      <c r="F49" s="109" t="e">
        <f t="shared" si="1"/>
        <v>#REF!</v>
      </c>
      <c r="G49" s="52">
        <v>0</v>
      </c>
      <c r="H49" s="52">
        <v>0</v>
      </c>
      <c r="I49" s="52"/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8">
        <v>0</v>
      </c>
      <c r="Q49" s="58"/>
      <c r="R49" s="58"/>
      <c r="S49" s="58"/>
      <c r="T49" s="58"/>
      <c r="U49" s="58"/>
      <c r="V49" s="58"/>
      <c r="W49" s="58"/>
      <c r="X49" s="58"/>
    </row>
    <row r="50" spans="1:41" s="91" customFormat="1" hidden="1" x14ac:dyDescent="0.25">
      <c r="A50" s="90">
        <v>47</v>
      </c>
      <c r="B50" s="108" t="e">
        <f>'survey priority'!#REF!</f>
        <v>#REF!</v>
      </c>
      <c r="C50" s="109" t="e">
        <f>'survey priority'!#REF!</f>
        <v>#REF!</v>
      </c>
      <c r="D50" s="110" t="e">
        <f>VLOOKUP(B50,'Survey Time'!$A$2:$C$30,2,FALSE)</f>
        <v>#REF!</v>
      </c>
      <c r="E50" s="90" t="e">
        <f>VLOOKUP(B50,'Survey Time'!$A$2:$C$30,3,FALSE)</f>
        <v>#REF!</v>
      </c>
      <c r="F50" s="109" t="e">
        <f t="shared" si="1"/>
        <v>#REF!</v>
      </c>
      <c r="G50" s="52">
        <v>0</v>
      </c>
      <c r="H50" s="52">
        <v>0</v>
      </c>
      <c r="I50" s="52"/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8">
        <v>0</v>
      </c>
      <c r="Q50" s="58"/>
      <c r="R50" s="58"/>
      <c r="S50" s="58"/>
      <c r="T50" s="58"/>
      <c r="U50" s="58"/>
      <c r="V50" s="58"/>
      <c r="W50" s="58"/>
      <c r="X50" s="58"/>
    </row>
    <row r="51" spans="1:41" s="91" customFormat="1" hidden="1" x14ac:dyDescent="0.25">
      <c r="A51" s="90">
        <v>48</v>
      </c>
      <c r="B51" s="108" t="e">
        <f>'survey priority'!#REF!</f>
        <v>#REF!</v>
      </c>
      <c r="C51" s="109" t="e">
        <f>'survey priority'!#REF!</f>
        <v>#REF!</v>
      </c>
      <c r="D51" s="110" t="e">
        <f>VLOOKUP(B51,'Survey Time'!$A$2:$C$30,2,FALSE)</f>
        <v>#REF!</v>
      </c>
      <c r="E51" s="90" t="e">
        <f>VLOOKUP(B51,'Survey Time'!$A$2:$C$30,3,FALSE)</f>
        <v>#REF!</v>
      </c>
      <c r="F51" s="109" t="e">
        <f t="shared" si="1"/>
        <v>#REF!</v>
      </c>
      <c r="G51" s="52">
        <v>0</v>
      </c>
      <c r="H51" s="52">
        <v>0</v>
      </c>
      <c r="I51" s="52"/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8">
        <v>0</v>
      </c>
      <c r="Q51" s="58"/>
      <c r="R51" s="58"/>
      <c r="S51" s="58"/>
      <c r="T51" s="58"/>
      <c r="U51" s="58"/>
      <c r="V51" s="58"/>
      <c r="W51" s="58"/>
      <c r="X51" s="58"/>
    </row>
    <row r="52" spans="1:41" s="91" customFormat="1" hidden="1" x14ac:dyDescent="0.25">
      <c r="A52" s="90">
        <v>49</v>
      </c>
      <c r="B52" s="108" t="e">
        <f>'survey priority'!#REF!</f>
        <v>#REF!</v>
      </c>
      <c r="C52" s="109" t="e">
        <f>'survey priority'!#REF!</f>
        <v>#REF!</v>
      </c>
      <c r="D52" s="110" t="e">
        <f>VLOOKUP(B52,'Survey Time'!$A$2:$C$30,2,FALSE)</f>
        <v>#REF!</v>
      </c>
      <c r="E52" s="90" t="e">
        <f>VLOOKUP(B52,'Survey Time'!$A$2:$C$30,3,FALSE)</f>
        <v>#REF!</v>
      </c>
      <c r="F52" s="109" t="e">
        <f t="shared" si="1"/>
        <v>#REF!</v>
      </c>
      <c r="G52" s="52">
        <v>0</v>
      </c>
      <c r="H52" s="52">
        <v>0</v>
      </c>
      <c r="I52" s="52"/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8">
        <v>0</v>
      </c>
      <c r="Q52" s="58"/>
      <c r="R52" s="58"/>
      <c r="S52" s="58"/>
      <c r="T52" s="58"/>
      <c r="U52" s="58"/>
      <c r="V52" s="58"/>
      <c r="W52" s="58"/>
      <c r="X52" s="58"/>
    </row>
    <row r="53" spans="1:41" s="91" customFormat="1" hidden="1" x14ac:dyDescent="0.25">
      <c r="A53" s="90">
        <v>50</v>
      </c>
      <c r="B53" s="108" t="e">
        <f>'survey priority'!#REF!</f>
        <v>#REF!</v>
      </c>
      <c r="C53" s="109" t="e">
        <f>'survey priority'!#REF!</f>
        <v>#REF!</v>
      </c>
      <c r="D53" s="110" t="e">
        <f>VLOOKUP(B53,'Survey Time'!$A$2:$C$30,2,FALSE)</f>
        <v>#REF!</v>
      </c>
      <c r="E53" s="90" t="e">
        <f>VLOOKUP(B53,'Survey Time'!$A$2:$C$30,3,FALSE)</f>
        <v>#REF!</v>
      </c>
      <c r="F53" s="109" t="e">
        <f t="shared" si="1"/>
        <v>#REF!</v>
      </c>
      <c r="G53" s="52">
        <v>0</v>
      </c>
      <c r="H53" s="52">
        <v>0</v>
      </c>
      <c r="I53" s="52"/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8">
        <v>0</v>
      </c>
      <c r="Q53" s="58"/>
      <c r="R53" s="58"/>
      <c r="S53" s="58"/>
      <c r="T53" s="58"/>
      <c r="U53" s="58"/>
      <c r="V53" s="58"/>
      <c r="W53" s="58"/>
      <c r="X53" s="58"/>
    </row>
    <row r="54" spans="1:41" s="91" customFormat="1" ht="15.75" thickBot="1" x14ac:dyDescent="0.3">
      <c r="A54" s="90"/>
      <c r="B54" s="86"/>
      <c r="C54" s="49"/>
      <c r="D54" s="88"/>
      <c r="E54" s="50"/>
      <c r="F54" s="105" t="s">
        <v>103</v>
      </c>
      <c r="G54" s="106">
        <f>G2</f>
        <v>0</v>
      </c>
      <c r="H54" s="107">
        <f>IF(H57&gt;0,G54+1,   )</f>
        <v>1</v>
      </c>
      <c r="I54" s="107">
        <f t="shared" ref="I54:L54" si="2">IF(I57&gt;0,H54+1,   )</f>
        <v>2</v>
      </c>
      <c r="J54" s="107">
        <f t="shared" si="2"/>
        <v>3</v>
      </c>
      <c r="K54" s="107">
        <f t="shared" si="2"/>
        <v>4</v>
      </c>
      <c r="L54" s="107">
        <f t="shared" si="2"/>
        <v>5</v>
      </c>
      <c r="M54" s="107">
        <f t="shared" ref="M54:AO54" si="3">IF(M57&gt;0,L54+1,   )</f>
        <v>6</v>
      </c>
      <c r="N54" s="107">
        <f t="shared" si="3"/>
        <v>7</v>
      </c>
      <c r="O54" s="107">
        <f t="shared" si="3"/>
        <v>0</v>
      </c>
      <c r="P54" s="107">
        <f t="shared" si="3"/>
        <v>0</v>
      </c>
      <c r="Q54" s="107">
        <f t="shared" si="3"/>
        <v>0</v>
      </c>
      <c r="R54" s="107">
        <f t="shared" si="3"/>
        <v>0</v>
      </c>
      <c r="S54" s="107">
        <f t="shared" si="3"/>
        <v>0</v>
      </c>
      <c r="T54" s="107">
        <f t="shared" si="3"/>
        <v>0</v>
      </c>
      <c r="U54" s="107">
        <f t="shared" si="3"/>
        <v>0</v>
      </c>
      <c r="V54" s="107">
        <f t="shared" si="3"/>
        <v>0</v>
      </c>
      <c r="W54" s="107">
        <f t="shared" si="3"/>
        <v>0</v>
      </c>
      <c r="X54" s="107">
        <f t="shared" si="3"/>
        <v>0</v>
      </c>
      <c r="Y54" s="107">
        <f t="shared" si="3"/>
        <v>0</v>
      </c>
      <c r="Z54" s="107">
        <f t="shared" si="3"/>
        <v>0</v>
      </c>
      <c r="AA54" s="107">
        <f t="shared" si="3"/>
        <v>0</v>
      </c>
      <c r="AB54" s="107">
        <f t="shared" si="3"/>
        <v>0</v>
      </c>
      <c r="AC54" s="107">
        <f t="shared" si="3"/>
        <v>0</v>
      </c>
      <c r="AD54" s="107">
        <f t="shared" si="3"/>
        <v>0</v>
      </c>
      <c r="AE54" s="107">
        <f t="shared" si="3"/>
        <v>0</v>
      </c>
      <c r="AF54" s="107">
        <f t="shared" si="3"/>
        <v>0</v>
      </c>
      <c r="AG54" s="107">
        <f t="shared" si="3"/>
        <v>0</v>
      </c>
      <c r="AH54" s="107">
        <f t="shared" si="3"/>
        <v>0</v>
      </c>
      <c r="AI54" s="107">
        <f t="shared" si="3"/>
        <v>0</v>
      </c>
      <c r="AJ54" s="107">
        <f t="shared" si="3"/>
        <v>0</v>
      </c>
      <c r="AK54" s="107">
        <f t="shared" si="3"/>
        <v>0</v>
      </c>
      <c r="AL54" s="107">
        <f t="shared" si="3"/>
        <v>0</v>
      </c>
      <c r="AM54" s="107">
        <f t="shared" si="3"/>
        <v>0</v>
      </c>
      <c r="AN54" s="107">
        <f t="shared" si="3"/>
        <v>0</v>
      </c>
      <c r="AO54" s="107">
        <f t="shared" si="3"/>
        <v>0</v>
      </c>
    </row>
    <row r="55" spans="1:41" ht="16.5" thickTop="1" thickBot="1" x14ac:dyDescent="0.3">
      <c r="A55" s="50"/>
      <c r="B55" s="86"/>
      <c r="C55" s="49"/>
      <c r="D55" s="88"/>
      <c r="E55" s="50"/>
      <c r="F55" s="92" t="str">
        <f>'portfolio builder'!A2</f>
        <v>return on effort</v>
      </c>
      <c r="G55" s="59">
        <f>SUMPRODUCT(G$4:G$32,$F$4:$F$32)</f>
        <v>4.7825489158869248</v>
      </c>
      <c r="H55" s="59">
        <f t="shared" ref="H55:AO55" si="4">SUMPRODUCT(H$4:H$32,$F$4:$F$32)</f>
        <v>4.7256742892902635</v>
      </c>
      <c r="I55" s="59">
        <f t="shared" si="4"/>
        <v>4.1637721359674691</v>
      </c>
      <c r="J55" s="59">
        <f t="shared" si="4"/>
        <v>4.2079477520691899</v>
      </c>
      <c r="K55" s="59">
        <f t="shared" si="4"/>
        <v>4.5904127092922309</v>
      </c>
      <c r="L55" s="59">
        <f t="shared" si="4"/>
        <v>4.673998543275327</v>
      </c>
      <c r="M55" s="59">
        <f t="shared" si="4"/>
        <v>4.1149255514267651</v>
      </c>
      <c r="N55" s="59">
        <f t="shared" si="4"/>
        <v>4.543781475400996</v>
      </c>
      <c r="O55" s="59">
        <f t="shared" si="4"/>
        <v>0</v>
      </c>
      <c r="P55" s="59">
        <f t="shared" si="4"/>
        <v>0</v>
      </c>
      <c r="Q55" s="59">
        <f t="shared" si="4"/>
        <v>0</v>
      </c>
      <c r="R55" s="59">
        <f t="shared" si="4"/>
        <v>0</v>
      </c>
      <c r="S55" s="59">
        <f t="shared" si="4"/>
        <v>0</v>
      </c>
      <c r="T55" s="59">
        <f t="shared" si="4"/>
        <v>0</v>
      </c>
      <c r="U55" s="59">
        <f t="shared" si="4"/>
        <v>0</v>
      </c>
      <c r="V55" s="59">
        <f t="shared" si="4"/>
        <v>0</v>
      </c>
      <c r="W55" s="59">
        <f t="shared" si="4"/>
        <v>0</v>
      </c>
      <c r="X55" s="59">
        <f t="shared" si="4"/>
        <v>0</v>
      </c>
      <c r="Y55" s="59">
        <f t="shared" si="4"/>
        <v>0</v>
      </c>
      <c r="Z55" s="59">
        <f t="shared" si="4"/>
        <v>0</v>
      </c>
      <c r="AA55" s="59">
        <f t="shared" si="4"/>
        <v>0</v>
      </c>
      <c r="AB55" s="59">
        <f t="shared" si="4"/>
        <v>0</v>
      </c>
      <c r="AC55" s="59">
        <f t="shared" si="4"/>
        <v>0</v>
      </c>
      <c r="AD55" s="59">
        <f t="shared" si="4"/>
        <v>0</v>
      </c>
      <c r="AE55" s="59">
        <f t="shared" si="4"/>
        <v>0</v>
      </c>
      <c r="AF55" s="59">
        <f t="shared" si="4"/>
        <v>0</v>
      </c>
      <c r="AG55" s="59">
        <f t="shared" si="4"/>
        <v>0</v>
      </c>
      <c r="AH55" s="59">
        <f t="shared" si="4"/>
        <v>0</v>
      </c>
      <c r="AI55" s="59">
        <f t="shared" si="4"/>
        <v>0</v>
      </c>
      <c r="AJ55" s="59">
        <f t="shared" si="4"/>
        <v>0</v>
      </c>
      <c r="AK55" s="59">
        <f t="shared" si="4"/>
        <v>0</v>
      </c>
      <c r="AL55" s="59">
        <f t="shared" si="4"/>
        <v>0</v>
      </c>
      <c r="AM55" s="59">
        <f t="shared" si="4"/>
        <v>0</v>
      </c>
      <c r="AN55" s="59">
        <f t="shared" si="4"/>
        <v>0</v>
      </c>
      <c r="AO55" s="59">
        <f t="shared" si="4"/>
        <v>0</v>
      </c>
    </row>
    <row r="56" spans="1:41" ht="16.5" thickTop="1" thickBot="1" x14ac:dyDescent="0.3">
      <c r="A56" s="50"/>
      <c r="B56" s="86"/>
      <c r="C56" s="49"/>
      <c r="D56" s="88"/>
      <c r="E56" s="50"/>
      <c r="F56" s="92" t="s">
        <v>53</v>
      </c>
      <c r="G56" s="138">
        <f>SUMPRODUCT(G$4:G$32,$D$4:$D$32)</f>
        <v>106.20000000000002</v>
      </c>
      <c r="H56" s="138">
        <f t="shared" ref="H56:AO56" si="5">SUMPRODUCT(H$4:H$32,$D$4:$D$32)</f>
        <v>52.2</v>
      </c>
      <c r="I56" s="138">
        <f t="shared" si="5"/>
        <v>52.300000000000004</v>
      </c>
      <c r="J56" s="138">
        <f t="shared" si="5"/>
        <v>66.100000000000009</v>
      </c>
      <c r="K56" s="138">
        <f t="shared" si="5"/>
        <v>52.000000000000007</v>
      </c>
      <c r="L56" s="59">
        <f t="shared" si="5"/>
        <v>34.199999999999996</v>
      </c>
      <c r="M56" s="59">
        <f t="shared" si="5"/>
        <v>34.500000000000007</v>
      </c>
      <c r="N56" s="59">
        <f t="shared" si="5"/>
        <v>34.1</v>
      </c>
      <c r="O56" s="59">
        <f t="shared" si="5"/>
        <v>0</v>
      </c>
      <c r="P56" s="59">
        <f t="shared" si="5"/>
        <v>0</v>
      </c>
      <c r="Q56" s="59">
        <f t="shared" si="5"/>
        <v>0</v>
      </c>
      <c r="R56" s="59">
        <f t="shared" si="5"/>
        <v>0</v>
      </c>
      <c r="S56" s="59">
        <f t="shared" si="5"/>
        <v>0</v>
      </c>
      <c r="T56" s="59">
        <f t="shared" si="5"/>
        <v>0</v>
      </c>
      <c r="U56" s="59">
        <f t="shared" si="5"/>
        <v>0</v>
      </c>
      <c r="V56" s="59">
        <f t="shared" si="5"/>
        <v>0</v>
      </c>
      <c r="W56" s="59">
        <f t="shared" si="5"/>
        <v>0</v>
      </c>
      <c r="X56" s="59">
        <f t="shared" si="5"/>
        <v>0</v>
      </c>
      <c r="Y56" s="59">
        <f t="shared" si="5"/>
        <v>0</v>
      </c>
      <c r="Z56" s="59">
        <f t="shared" si="5"/>
        <v>0</v>
      </c>
      <c r="AA56" s="59">
        <f t="shared" si="5"/>
        <v>0</v>
      </c>
      <c r="AB56" s="59">
        <f t="shared" si="5"/>
        <v>0</v>
      </c>
      <c r="AC56" s="59">
        <f t="shared" si="5"/>
        <v>0</v>
      </c>
      <c r="AD56" s="59">
        <f t="shared" si="5"/>
        <v>0</v>
      </c>
      <c r="AE56" s="59">
        <f t="shared" si="5"/>
        <v>0</v>
      </c>
      <c r="AF56" s="59">
        <f t="shared" si="5"/>
        <v>0</v>
      </c>
      <c r="AG56" s="59">
        <f t="shared" si="5"/>
        <v>0</v>
      </c>
      <c r="AH56" s="59">
        <f t="shared" si="5"/>
        <v>0</v>
      </c>
      <c r="AI56" s="59">
        <f t="shared" si="5"/>
        <v>0</v>
      </c>
      <c r="AJ56" s="59">
        <f t="shared" si="5"/>
        <v>0</v>
      </c>
      <c r="AK56" s="59">
        <f t="shared" si="5"/>
        <v>0</v>
      </c>
      <c r="AL56" s="59">
        <f t="shared" si="5"/>
        <v>0</v>
      </c>
      <c r="AM56" s="59">
        <f t="shared" si="5"/>
        <v>0</v>
      </c>
      <c r="AN56" s="59">
        <f t="shared" si="5"/>
        <v>0</v>
      </c>
      <c r="AO56" s="59">
        <f t="shared" si="5"/>
        <v>0</v>
      </c>
    </row>
    <row r="57" spans="1:41" ht="16.5" thickTop="1" thickBot="1" x14ac:dyDescent="0.3">
      <c r="A57" s="50"/>
      <c r="B57" s="86"/>
      <c r="C57" s="49"/>
      <c r="D57" s="88"/>
      <c r="E57" s="50"/>
      <c r="F57" s="93" t="s">
        <v>59</v>
      </c>
      <c r="G57" s="60">
        <f t="shared" ref="G57:AO57" si="6">SUM(G4:G53)</f>
        <v>29</v>
      </c>
      <c r="H57" s="60">
        <f t="shared" si="6"/>
        <v>21</v>
      </c>
      <c r="I57" s="60">
        <f t="shared" si="6"/>
        <v>15</v>
      </c>
      <c r="J57" s="60">
        <f t="shared" si="6"/>
        <v>21</v>
      </c>
      <c r="K57" s="60">
        <f t="shared" si="6"/>
        <v>18</v>
      </c>
      <c r="L57" s="60">
        <f t="shared" si="6"/>
        <v>17</v>
      </c>
      <c r="M57" s="60">
        <f t="shared" si="6"/>
        <v>12</v>
      </c>
      <c r="N57" s="60">
        <f t="shared" si="6"/>
        <v>14</v>
      </c>
      <c r="O57" s="60">
        <f t="shared" si="6"/>
        <v>0</v>
      </c>
      <c r="P57" s="60">
        <f t="shared" si="6"/>
        <v>0</v>
      </c>
      <c r="Q57" s="60">
        <f t="shared" si="6"/>
        <v>0</v>
      </c>
      <c r="R57" s="60">
        <f t="shared" si="6"/>
        <v>0</v>
      </c>
      <c r="S57" s="60">
        <f t="shared" si="6"/>
        <v>0</v>
      </c>
      <c r="T57" s="60">
        <f t="shared" si="6"/>
        <v>0</v>
      </c>
      <c r="U57" s="60">
        <f t="shared" si="6"/>
        <v>0</v>
      </c>
      <c r="V57" s="60">
        <f t="shared" si="6"/>
        <v>0</v>
      </c>
      <c r="W57" s="60">
        <f t="shared" si="6"/>
        <v>0</v>
      </c>
      <c r="X57" s="60">
        <f t="shared" si="6"/>
        <v>0</v>
      </c>
      <c r="Y57" s="60">
        <f t="shared" si="6"/>
        <v>0</v>
      </c>
      <c r="Z57" s="60">
        <f t="shared" si="6"/>
        <v>0</v>
      </c>
      <c r="AA57" s="60">
        <f t="shared" si="6"/>
        <v>0</v>
      </c>
      <c r="AB57" s="60">
        <f t="shared" si="6"/>
        <v>0</v>
      </c>
      <c r="AC57" s="60">
        <f t="shared" si="6"/>
        <v>0</v>
      </c>
      <c r="AD57" s="60">
        <f t="shared" si="6"/>
        <v>0</v>
      </c>
      <c r="AE57" s="60">
        <f t="shared" si="6"/>
        <v>0</v>
      </c>
      <c r="AF57" s="60">
        <f t="shared" si="6"/>
        <v>0</v>
      </c>
      <c r="AG57" s="60">
        <f t="shared" si="6"/>
        <v>0</v>
      </c>
      <c r="AH57" s="60">
        <f t="shared" si="6"/>
        <v>0</v>
      </c>
      <c r="AI57" s="60">
        <f t="shared" si="6"/>
        <v>0</v>
      </c>
      <c r="AJ57" s="60">
        <f t="shared" si="6"/>
        <v>0</v>
      </c>
      <c r="AK57" s="60">
        <f t="shared" si="6"/>
        <v>0</v>
      </c>
      <c r="AL57" s="60">
        <f t="shared" si="6"/>
        <v>0</v>
      </c>
      <c r="AM57" s="60">
        <f t="shared" si="6"/>
        <v>0</v>
      </c>
      <c r="AN57" s="60">
        <f t="shared" si="6"/>
        <v>0</v>
      </c>
      <c r="AO57" s="60">
        <f t="shared" si="6"/>
        <v>0</v>
      </c>
    </row>
    <row r="58" spans="1:41" ht="15.75" thickTop="1" x14ac:dyDescent="0.25"/>
  </sheetData>
  <printOptions gridLines="1"/>
  <pageMargins left="0.25" right="0.25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E55"/>
  <sheetViews>
    <sheetView zoomScaleNormal="100" workbookViewId="0">
      <selection activeCell="B5" sqref="B5"/>
    </sheetView>
  </sheetViews>
  <sheetFormatPr defaultColWidth="8.85546875" defaultRowHeight="12.75" x14ac:dyDescent="0.2"/>
  <cols>
    <col min="1" max="1" width="45.28515625" style="11" customWidth="1"/>
    <col min="2" max="2" width="21.42578125" style="11" customWidth="1"/>
    <col min="3" max="3" width="29.7109375" style="11" customWidth="1"/>
    <col min="4" max="4" width="9.5703125" style="6" customWidth="1"/>
    <col min="5" max="5" width="8.85546875" style="1" customWidth="1"/>
    <col min="6" max="9" width="8.85546875" style="1"/>
    <col min="10" max="10" width="16.42578125" style="1" customWidth="1"/>
    <col min="11" max="16384" width="8.85546875" style="1"/>
  </cols>
  <sheetData>
    <row r="1" spans="1:5" ht="14.25" thickTop="1" thickBot="1" x14ac:dyDescent="0.25">
      <c r="A1" s="61" t="s">
        <v>58</v>
      </c>
      <c r="B1" s="54" t="s">
        <v>182</v>
      </c>
      <c r="C1" s="55" t="s">
        <v>2</v>
      </c>
      <c r="D1" s="37">
        <f>'annual time budget'!H6</f>
        <v>34.35</v>
      </c>
    </row>
    <row r="2" spans="1:5" ht="13.5" thickTop="1" x14ac:dyDescent="0.2">
      <c r="A2" s="62" t="s">
        <v>3</v>
      </c>
      <c r="B2" s="56">
        <f>SUMPRODUCT(table!F4:F32,'portfolio builder'!C6:C34)</f>
        <v>4.543781475400996</v>
      </c>
      <c r="C2" s="53" t="s">
        <v>4</v>
      </c>
      <c r="D2" s="57">
        <f>SUMPRODUCT(C6:C34,table!D4:D32)</f>
        <v>34.1</v>
      </c>
    </row>
    <row r="3" spans="1:5" ht="13.5" thickBot="1" x14ac:dyDescent="0.25">
      <c r="A3" s="3"/>
      <c r="B3" s="2"/>
      <c r="C3" s="3"/>
      <c r="D3" s="4" t="s">
        <v>5</v>
      </c>
      <c r="E3" s="5" t="s">
        <v>5</v>
      </c>
    </row>
    <row r="4" spans="1:5" x14ac:dyDescent="0.2">
      <c r="A4" s="63"/>
      <c r="B4" s="44" t="s">
        <v>48</v>
      </c>
      <c r="C4" s="45" t="s">
        <v>54</v>
      </c>
    </row>
    <row r="5" spans="1:5" ht="13.5" thickBot="1" x14ac:dyDescent="0.25">
      <c r="A5" s="64" t="s">
        <v>47</v>
      </c>
      <c r="B5" s="46" t="s">
        <v>49</v>
      </c>
      <c r="C5" s="47" t="s">
        <v>55</v>
      </c>
    </row>
    <row r="6" spans="1:5" x14ac:dyDescent="0.2">
      <c r="A6" s="65" t="str">
        <f>table!B4</f>
        <v>NPAM</v>
      </c>
      <c r="B6" s="7">
        <v>1</v>
      </c>
      <c r="C6" s="7">
        <v>1</v>
      </c>
    </row>
    <row r="7" spans="1:5" x14ac:dyDescent="0.2">
      <c r="A7" s="65" t="str">
        <f>table!B5</f>
        <v>Remnant Prairie Inventory</v>
      </c>
      <c r="B7" s="7"/>
      <c r="C7" s="7">
        <v>0</v>
      </c>
    </row>
    <row r="8" spans="1:5" x14ac:dyDescent="0.2">
      <c r="A8" s="65" t="str">
        <f>table!B6</f>
        <v>Thistle Study</v>
      </c>
      <c r="B8" s="7">
        <v>1</v>
      </c>
      <c r="C8" s="7">
        <v>1</v>
      </c>
    </row>
    <row r="9" spans="1:5" x14ac:dyDescent="0.2">
      <c r="A9" s="65" t="str">
        <f>table!B7</f>
        <v>GMT</v>
      </c>
      <c r="B9" s="7">
        <v>1</v>
      </c>
      <c r="C9" s="7">
        <v>1</v>
      </c>
    </row>
    <row r="10" spans="1:5" x14ac:dyDescent="0.2">
      <c r="A10" s="65" t="str">
        <f>table!B8</f>
        <v>Sediment</v>
      </c>
      <c r="B10" s="7">
        <v>1</v>
      </c>
      <c r="C10" s="7">
        <v>1</v>
      </c>
    </row>
    <row r="11" spans="1:5" x14ac:dyDescent="0.2">
      <c r="A11" s="65" t="str">
        <f>table!B9</f>
        <v>Prairie Reconstruction</v>
      </c>
      <c r="B11" s="7"/>
      <c r="C11" s="7">
        <v>0</v>
      </c>
    </row>
    <row r="12" spans="1:5" x14ac:dyDescent="0.2">
      <c r="A12" s="65" t="str">
        <f>table!B10</f>
        <v>Prairie Butterflies</v>
      </c>
      <c r="B12" s="7"/>
      <c r="C12" s="7">
        <v>1</v>
      </c>
    </row>
    <row r="13" spans="1:5" x14ac:dyDescent="0.2">
      <c r="A13" s="65" t="str">
        <f>table!B11</f>
        <v>Wetland Condition Assessment</v>
      </c>
      <c r="B13" s="7"/>
      <c r="C13" s="7">
        <v>0</v>
      </c>
    </row>
    <row r="14" spans="1:5" x14ac:dyDescent="0.2">
      <c r="A14" s="65" t="str">
        <f>table!B12</f>
        <v>Grassland Bird Inventory</v>
      </c>
      <c r="B14" s="7"/>
      <c r="C14" s="7">
        <v>1</v>
      </c>
    </row>
    <row r="15" spans="1:5" x14ac:dyDescent="0.2">
      <c r="A15" s="65" t="str">
        <f>table!B13</f>
        <v>Invasive Species</v>
      </c>
      <c r="B15" s="7"/>
      <c r="C15" s="7">
        <v>0</v>
      </c>
    </row>
    <row r="16" spans="1:5" x14ac:dyDescent="0.2">
      <c r="A16" s="65" t="str">
        <f>table!B14</f>
        <v>FSM</v>
      </c>
      <c r="B16" s="7">
        <v>1</v>
      </c>
      <c r="C16" s="7">
        <v>1</v>
      </c>
    </row>
    <row r="17" spans="1:3" x14ac:dyDescent="0.2">
      <c r="A17" s="65" t="str">
        <f>table!B15</f>
        <v>Grazing Rapid Assessment</v>
      </c>
      <c r="B17" s="7"/>
      <c r="C17" s="7">
        <v>0</v>
      </c>
    </row>
    <row r="18" spans="1:3" x14ac:dyDescent="0.2">
      <c r="A18" s="65" t="str">
        <f>table!B16</f>
        <v>Wetland Veg Monitoring</v>
      </c>
      <c r="B18" s="7"/>
      <c r="C18" s="7">
        <v>1</v>
      </c>
    </row>
    <row r="19" spans="1:3" x14ac:dyDescent="0.2">
      <c r="A19" s="65" t="str">
        <f>table!B17</f>
        <v>Glacial Lake Overspray</v>
      </c>
      <c r="B19" s="7">
        <v>1</v>
      </c>
      <c r="C19" s="7">
        <v>1</v>
      </c>
    </row>
    <row r="20" spans="1:3" x14ac:dyDescent="0.2">
      <c r="A20" s="65" t="str">
        <f>table!B18</f>
        <v>Wetland Resources Long-Term</v>
      </c>
      <c r="B20" s="7"/>
      <c r="C20" s="7">
        <v>0</v>
      </c>
    </row>
    <row r="21" spans="1:3" x14ac:dyDescent="0.2">
      <c r="A21" s="65" t="str">
        <f>table!B19</f>
        <v>Contaminants and Wetland Inverts</v>
      </c>
      <c r="B21" s="7"/>
      <c r="C21" s="7">
        <v>0</v>
      </c>
    </row>
    <row r="22" spans="1:3" x14ac:dyDescent="0.2">
      <c r="A22" s="65" t="str">
        <f>table!B20</f>
        <v>Wild Rice</v>
      </c>
      <c r="B22" s="7"/>
      <c r="C22" s="7">
        <v>0</v>
      </c>
    </row>
    <row r="23" spans="1:3" x14ac:dyDescent="0.2">
      <c r="A23" s="65" t="str">
        <f>table!B21</f>
        <v>IWMM</v>
      </c>
      <c r="B23" s="7"/>
      <c r="C23" s="7">
        <v>0</v>
      </c>
    </row>
    <row r="24" spans="1:3" x14ac:dyDescent="0.2">
      <c r="A24" s="65" t="str">
        <f>table!B22</f>
        <v>BBS</v>
      </c>
      <c r="B24" s="7"/>
      <c r="C24" s="7">
        <v>1</v>
      </c>
    </row>
    <row r="25" spans="1:3" x14ac:dyDescent="0.2">
      <c r="A25" s="65" t="str">
        <f>table!B23</f>
        <v>Colonial Waterbirds</v>
      </c>
      <c r="B25" s="7"/>
      <c r="C25" s="7">
        <v>1</v>
      </c>
    </row>
    <row r="26" spans="1:3" x14ac:dyDescent="0.2">
      <c r="A26" s="65" t="str">
        <f>table!B24</f>
        <v>Darnen Water Quality</v>
      </c>
      <c r="B26" s="7"/>
      <c r="C26" s="7">
        <v>1</v>
      </c>
    </row>
    <row r="27" spans="1:3" x14ac:dyDescent="0.2">
      <c r="A27" s="65" t="str">
        <f>table!B25</f>
        <v>Water Levels</v>
      </c>
      <c r="B27" s="7"/>
      <c r="C27" s="7">
        <v>0</v>
      </c>
    </row>
    <row r="28" spans="1:3" x14ac:dyDescent="0.2">
      <c r="A28" s="65" t="str">
        <f>table!B26</f>
        <v>Nest Stuctures</v>
      </c>
      <c r="B28" s="7"/>
      <c r="C28" s="7">
        <v>0</v>
      </c>
    </row>
    <row r="29" spans="1:3" x14ac:dyDescent="0.2">
      <c r="A29" s="65" t="str">
        <f>table!B27</f>
        <v>Baseline Wildlife</v>
      </c>
      <c r="B29" s="7"/>
      <c r="C29" s="7">
        <v>0</v>
      </c>
    </row>
    <row r="30" spans="1:3" x14ac:dyDescent="0.2">
      <c r="A30" s="65" t="str">
        <f>table!B28</f>
        <v>Woodcock Survey</v>
      </c>
      <c r="B30" s="7"/>
      <c r="C30" s="7">
        <v>0</v>
      </c>
    </row>
    <row r="31" spans="1:3" x14ac:dyDescent="0.2">
      <c r="A31" s="65" t="str">
        <f>table!B29</f>
        <v>Relocating Prairie Chickens</v>
      </c>
      <c r="B31" s="7">
        <v>1</v>
      </c>
      <c r="C31" s="7">
        <v>1</v>
      </c>
    </row>
    <row r="32" spans="1:3" x14ac:dyDescent="0.2">
      <c r="A32" s="65" t="str">
        <f>table!B30</f>
        <v>NAAMP</v>
      </c>
      <c r="B32" s="7"/>
      <c r="C32" s="7">
        <v>1</v>
      </c>
    </row>
    <row r="33" spans="1:3" x14ac:dyDescent="0.2">
      <c r="A33" s="65" t="str">
        <f>table!B31</f>
        <v>Dove Banding</v>
      </c>
      <c r="B33" s="7"/>
      <c r="C33" s="7">
        <v>0</v>
      </c>
    </row>
    <row r="34" spans="1:3" x14ac:dyDescent="0.2">
      <c r="A34" s="65" t="str">
        <f>table!B32</f>
        <v>CBC</v>
      </c>
      <c r="B34" s="7"/>
      <c r="C34" s="7">
        <v>0</v>
      </c>
    </row>
    <row r="35" spans="1:3" hidden="1" x14ac:dyDescent="0.2">
      <c r="A35" s="65" t="e">
        <f>table!B33</f>
        <v>#REF!</v>
      </c>
      <c r="B35" s="7"/>
      <c r="C35" s="8">
        <v>0</v>
      </c>
    </row>
    <row r="36" spans="1:3" hidden="1" x14ac:dyDescent="0.2">
      <c r="A36" s="65" t="e">
        <f>table!B34</f>
        <v>#REF!</v>
      </c>
      <c r="B36" s="7">
        <v>1</v>
      </c>
      <c r="C36" s="8">
        <v>0</v>
      </c>
    </row>
    <row r="37" spans="1:3" hidden="1" x14ac:dyDescent="0.2">
      <c r="A37" s="65" t="e">
        <f>table!B35</f>
        <v>#REF!</v>
      </c>
      <c r="B37" s="7">
        <v>1</v>
      </c>
      <c r="C37" s="8">
        <v>0</v>
      </c>
    </row>
    <row r="38" spans="1:3" hidden="1" x14ac:dyDescent="0.2">
      <c r="A38" s="65" t="e">
        <f>table!B36</f>
        <v>#REF!</v>
      </c>
      <c r="B38" s="7">
        <v>1</v>
      </c>
      <c r="C38" s="8">
        <v>0</v>
      </c>
    </row>
    <row r="39" spans="1:3" hidden="1" x14ac:dyDescent="0.2">
      <c r="A39" s="65" t="e">
        <f>table!B37</f>
        <v>#REF!</v>
      </c>
      <c r="B39" s="7">
        <v>1</v>
      </c>
      <c r="C39" s="8">
        <v>0</v>
      </c>
    </row>
    <row r="40" spans="1:3" hidden="1" x14ac:dyDescent="0.2">
      <c r="A40" s="65" t="e">
        <f>table!B38</f>
        <v>#REF!</v>
      </c>
      <c r="B40" s="7">
        <v>1</v>
      </c>
      <c r="C40" s="8">
        <v>0</v>
      </c>
    </row>
    <row r="41" spans="1:3" hidden="1" x14ac:dyDescent="0.2">
      <c r="A41" s="65" t="e">
        <f>table!B39</f>
        <v>#REF!</v>
      </c>
      <c r="B41" s="7">
        <v>1</v>
      </c>
      <c r="C41" s="8">
        <v>0</v>
      </c>
    </row>
    <row r="42" spans="1:3" hidden="1" x14ac:dyDescent="0.2">
      <c r="A42" s="65" t="e">
        <f>table!B40</f>
        <v>#REF!</v>
      </c>
      <c r="B42" s="7">
        <v>1</v>
      </c>
      <c r="C42" s="8">
        <v>0</v>
      </c>
    </row>
    <row r="43" spans="1:3" hidden="1" x14ac:dyDescent="0.2">
      <c r="A43" s="65" t="e">
        <f>table!B41</f>
        <v>#REF!</v>
      </c>
      <c r="B43" s="7">
        <v>1</v>
      </c>
      <c r="C43" s="8">
        <v>0</v>
      </c>
    </row>
    <row r="44" spans="1:3" hidden="1" x14ac:dyDescent="0.2">
      <c r="A44" s="65" t="e">
        <f>table!B42</f>
        <v>#REF!</v>
      </c>
      <c r="B44" s="7">
        <v>1</v>
      </c>
      <c r="C44" s="8">
        <v>0</v>
      </c>
    </row>
    <row r="45" spans="1:3" hidden="1" x14ac:dyDescent="0.2">
      <c r="A45" s="65" t="e">
        <f>table!B43</f>
        <v>#REF!</v>
      </c>
      <c r="B45" s="7">
        <v>1</v>
      </c>
      <c r="C45" s="8">
        <v>0</v>
      </c>
    </row>
    <row r="46" spans="1:3" hidden="1" x14ac:dyDescent="0.2">
      <c r="A46" s="65" t="e">
        <f>table!B44</f>
        <v>#REF!</v>
      </c>
      <c r="B46" s="7">
        <v>1</v>
      </c>
      <c r="C46" s="8">
        <v>0</v>
      </c>
    </row>
    <row r="47" spans="1:3" hidden="1" x14ac:dyDescent="0.2">
      <c r="A47" s="65" t="e">
        <f>table!B45</f>
        <v>#REF!</v>
      </c>
      <c r="B47" s="7">
        <v>1</v>
      </c>
      <c r="C47" s="8">
        <v>0</v>
      </c>
    </row>
    <row r="48" spans="1:3" hidden="1" x14ac:dyDescent="0.2">
      <c r="A48" s="65" t="e">
        <f>table!B46</f>
        <v>#REF!</v>
      </c>
      <c r="B48" s="7">
        <v>1</v>
      </c>
      <c r="C48" s="8">
        <v>0</v>
      </c>
    </row>
    <row r="49" spans="1:4" hidden="1" x14ac:dyDescent="0.2">
      <c r="A49" s="65" t="e">
        <f>table!B47</f>
        <v>#REF!</v>
      </c>
      <c r="B49" s="7">
        <v>1</v>
      </c>
      <c r="C49" s="8">
        <v>0</v>
      </c>
    </row>
    <row r="50" spans="1:4" hidden="1" x14ac:dyDescent="0.2">
      <c r="A50" s="65" t="e">
        <f>table!B48</f>
        <v>#REF!</v>
      </c>
      <c r="B50" s="7">
        <v>1</v>
      </c>
      <c r="C50" s="8">
        <v>0</v>
      </c>
    </row>
    <row r="51" spans="1:4" hidden="1" x14ac:dyDescent="0.2">
      <c r="A51" s="65" t="e">
        <f>table!B49</f>
        <v>#REF!</v>
      </c>
      <c r="B51" s="7">
        <v>1</v>
      </c>
      <c r="C51" s="8">
        <v>0</v>
      </c>
    </row>
    <row r="52" spans="1:4" hidden="1" x14ac:dyDescent="0.2">
      <c r="A52" s="65" t="e">
        <f>table!B50</f>
        <v>#REF!</v>
      </c>
      <c r="B52" s="7">
        <v>1</v>
      </c>
      <c r="C52" s="8">
        <v>0</v>
      </c>
    </row>
    <row r="53" spans="1:4" hidden="1" x14ac:dyDescent="0.2">
      <c r="A53" s="65" t="e">
        <f>table!B51</f>
        <v>#REF!</v>
      </c>
      <c r="B53" s="7">
        <v>1</v>
      </c>
      <c r="C53" s="8">
        <v>0</v>
      </c>
    </row>
    <row r="54" spans="1:4" hidden="1" x14ac:dyDescent="0.2">
      <c r="A54" s="65" t="e">
        <f>table!B52</f>
        <v>#REF!</v>
      </c>
      <c r="B54" s="7">
        <v>1</v>
      </c>
      <c r="C54" s="8">
        <v>0</v>
      </c>
    </row>
    <row r="55" spans="1:4" s="10" customFormat="1" ht="13.5" hidden="1" thickBot="1" x14ac:dyDescent="0.25">
      <c r="A55" s="66" t="e">
        <f>table!B53</f>
        <v>#REF!</v>
      </c>
      <c r="B55" s="7">
        <v>1</v>
      </c>
      <c r="C55" s="8">
        <v>0</v>
      </c>
      <c r="D55" s="9"/>
    </row>
  </sheetData>
  <sortState ref="J9:K34">
    <sortCondition ref="K9:K37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Macro5">
                <anchor moveWithCells="1">
                  <from>
                    <xdr:col>3</xdr:col>
                    <xdr:colOff>66675</xdr:colOff>
                    <xdr:row>7</xdr:row>
                    <xdr:rowOff>38100</xdr:rowOff>
                  </from>
                  <to>
                    <xdr:col>5</xdr:col>
                    <xdr:colOff>266700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18" sqref="H18"/>
    </sheetView>
  </sheetViews>
  <sheetFormatPr defaultRowHeight="15" x14ac:dyDescent="0.25"/>
  <cols>
    <col min="1" max="1" width="45.7109375" customWidth="1"/>
  </cols>
  <sheetData>
    <row r="1" spans="1:5" x14ac:dyDescent="0.25">
      <c r="A1" t="s">
        <v>83</v>
      </c>
      <c r="B1">
        <v>0.61300729569318346</v>
      </c>
      <c r="C1">
        <v>2</v>
      </c>
      <c r="D1">
        <v>15</v>
      </c>
      <c r="E1">
        <f t="shared" ref="E1:E26" si="0">C1*D1</f>
        <v>30</v>
      </c>
    </row>
    <row r="2" spans="1:5" x14ac:dyDescent="0.25">
      <c r="A2" t="s">
        <v>80</v>
      </c>
      <c r="B2">
        <v>0.54348258233328772</v>
      </c>
      <c r="C2">
        <v>2</v>
      </c>
      <c r="D2">
        <v>15</v>
      </c>
      <c r="E2">
        <f t="shared" si="0"/>
        <v>30</v>
      </c>
    </row>
    <row r="3" spans="1:5" x14ac:dyDescent="0.25">
      <c r="A3" t="s">
        <v>79</v>
      </c>
      <c r="B3">
        <v>0.51376354610182007</v>
      </c>
      <c r="C3">
        <v>2</v>
      </c>
      <c r="D3">
        <v>15</v>
      </c>
      <c r="E3">
        <f t="shared" si="0"/>
        <v>30</v>
      </c>
    </row>
    <row r="4" spans="1:5" x14ac:dyDescent="0.25">
      <c r="A4" t="s">
        <v>78</v>
      </c>
      <c r="B4">
        <v>0.54366287781975875</v>
      </c>
      <c r="C4">
        <v>1</v>
      </c>
      <c r="D4">
        <v>15</v>
      </c>
      <c r="E4">
        <f t="shared" si="0"/>
        <v>15</v>
      </c>
    </row>
    <row r="5" spans="1:5" x14ac:dyDescent="0.25">
      <c r="A5" t="s">
        <v>77</v>
      </c>
      <c r="B5">
        <v>0.56329527315426631</v>
      </c>
      <c r="C5">
        <v>2</v>
      </c>
      <c r="D5">
        <v>5</v>
      </c>
      <c r="E5">
        <f t="shared" si="0"/>
        <v>10</v>
      </c>
    </row>
    <row r="6" spans="1:5" x14ac:dyDescent="0.25">
      <c r="A6" t="s">
        <v>75</v>
      </c>
      <c r="B6">
        <v>0.55687133836707758</v>
      </c>
      <c r="C6">
        <v>2</v>
      </c>
      <c r="D6">
        <v>5</v>
      </c>
      <c r="E6">
        <f t="shared" si="0"/>
        <v>10</v>
      </c>
    </row>
    <row r="7" spans="1:5" x14ac:dyDescent="0.25">
      <c r="A7" t="s">
        <v>63</v>
      </c>
      <c r="B7">
        <v>0.53705864754609922</v>
      </c>
      <c r="C7">
        <v>2</v>
      </c>
      <c r="D7">
        <v>5</v>
      </c>
      <c r="E7">
        <f t="shared" si="0"/>
        <v>10</v>
      </c>
    </row>
    <row r="8" spans="1:5" x14ac:dyDescent="0.25">
      <c r="A8" t="s">
        <v>81</v>
      </c>
      <c r="B8">
        <v>0.64915026671183973</v>
      </c>
      <c r="C8">
        <v>1.5</v>
      </c>
      <c r="D8">
        <v>5</v>
      </c>
      <c r="E8">
        <f t="shared" si="0"/>
        <v>7.5</v>
      </c>
    </row>
    <row r="9" spans="1:5" x14ac:dyDescent="0.25">
      <c r="A9" t="s">
        <v>62</v>
      </c>
      <c r="B9">
        <v>0.57668402918805617</v>
      </c>
      <c r="C9">
        <v>0.5</v>
      </c>
      <c r="D9">
        <v>15</v>
      </c>
      <c r="E9">
        <f t="shared" si="0"/>
        <v>7.5</v>
      </c>
    </row>
    <row r="10" spans="1:5" x14ac:dyDescent="0.25">
      <c r="A10" t="s">
        <v>62</v>
      </c>
      <c r="B10">
        <v>0.44129730857803662</v>
      </c>
      <c r="C10">
        <v>0.5</v>
      </c>
      <c r="D10">
        <v>15</v>
      </c>
      <c r="E10">
        <f t="shared" si="0"/>
        <v>7.5</v>
      </c>
    </row>
    <row r="11" spans="1:5" x14ac:dyDescent="0.25">
      <c r="A11" t="s">
        <v>61</v>
      </c>
      <c r="B11">
        <v>0.39212617249853221</v>
      </c>
      <c r="C11">
        <v>0.5</v>
      </c>
      <c r="D11">
        <v>15</v>
      </c>
      <c r="E11">
        <f t="shared" si="0"/>
        <v>7.5</v>
      </c>
    </row>
    <row r="12" spans="1:5" x14ac:dyDescent="0.25">
      <c r="A12" t="s">
        <v>70</v>
      </c>
      <c r="B12">
        <v>0.3290253939258253</v>
      </c>
      <c r="C12">
        <v>0.5</v>
      </c>
      <c r="D12">
        <v>15</v>
      </c>
      <c r="E12">
        <f t="shared" si="0"/>
        <v>7.5</v>
      </c>
    </row>
    <row r="13" spans="1:5" x14ac:dyDescent="0.25">
      <c r="A13" t="s">
        <v>71</v>
      </c>
      <c r="B13">
        <v>0.28609789714703859</v>
      </c>
      <c r="C13">
        <v>0.5</v>
      </c>
      <c r="D13">
        <v>15</v>
      </c>
      <c r="E13">
        <f t="shared" si="0"/>
        <v>7.5</v>
      </c>
    </row>
    <row r="14" spans="1:5" x14ac:dyDescent="0.25">
      <c r="A14" t="s">
        <v>74</v>
      </c>
      <c r="B14">
        <v>0.2499549261283823</v>
      </c>
      <c r="C14">
        <v>0.5</v>
      </c>
      <c r="D14">
        <v>15</v>
      </c>
      <c r="E14">
        <f t="shared" si="0"/>
        <v>7.5</v>
      </c>
    </row>
    <row r="15" spans="1:5" x14ac:dyDescent="0.25">
      <c r="A15" t="s">
        <v>76</v>
      </c>
      <c r="B15">
        <v>0.43551860708858464</v>
      </c>
      <c r="C15">
        <v>6</v>
      </c>
      <c r="D15">
        <v>1</v>
      </c>
      <c r="E15">
        <f t="shared" si="0"/>
        <v>6</v>
      </c>
    </row>
    <row r="16" spans="1:5" x14ac:dyDescent="0.25">
      <c r="A16" t="s">
        <v>84</v>
      </c>
      <c r="B16">
        <v>0.50091567652744295</v>
      </c>
      <c r="C16">
        <v>1</v>
      </c>
      <c r="D16">
        <v>5</v>
      </c>
      <c r="E16">
        <f t="shared" si="0"/>
        <v>5</v>
      </c>
    </row>
    <row r="17" spans="1:5" x14ac:dyDescent="0.25">
      <c r="A17" t="s">
        <v>72</v>
      </c>
      <c r="B17">
        <v>0.41175856783303982</v>
      </c>
      <c r="C17">
        <v>1</v>
      </c>
      <c r="D17">
        <v>5</v>
      </c>
      <c r="E17">
        <f t="shared" si="0"/>
        <v>5</v>
      </c>
    </row>
    <row r="18" spans="1:5" x14ac:dyDescent="0.25">
      <c r="A18" t="s">
        <v>73</v>
      </c>
      <c r="B18">
        <v>0.40845645269621006</v>
      </c>
      <c r="C18">
        <v>1</v>
      </c>
      <c r="D18">
        <v>5</v>
      </c>
      <c r="E18">
        <f t="shared" si="0"/>
        <v>5</v>
      </c>
    </row>
    <row r="19" spans="1:5" x14ac:dyDescent="0.25">
      <c r="A19" t="s">
        <v>67</v>
      </c>
      <c r="B19">
        <v>0.28875477898613178</v>
      </c>
      <c r="C19">
        <v>1</v>
      </c>
      <c r="D19">
        <v>5</v>
      </c>
      <c r="E19">
        <f t="shared" si="0"/>
        <v>5</v>
      </c>
    </row>
    <row r="20" spans="1:5" x14ac:dyDescent="0.25">
      <c r="A20" t="s">
        <v>66</v>
      </c>
      <c r="B20">
        <v>0.26316338667570127</v>
      </c>
      <c r="C20">
        <v>1</v>
      </c>
      <c r="D20">
        <v>5</v>
      </c>
      <c r="E20">
        <f t="shared" si="0"/>
        <v>5</v>
      </c>
    </row>
    <row r="21" spans="1:5" x14ac:dyDescent="0.25">
      <c r="A21" t="s">
        <v>68</v>
      </c>
      <c r="B21">
        <v>0.40185222242255064</v>
      </c>
      <c r="C21">
        <v>1</v>
      </c>
      <c r="D21">
        <v>3</v>
      </c>
      <c r="E21">
        <f t="shared" si="0"/>
        <v>3</v>
      </c>
    </row>
    <row r="22" spans="1:5" x14ac:dyDescent="0.25">
      <c r="A22" t="s">
        <v>69</v>
      </c>
      <c r="B22">
        <v>0.34901838023327453</v>
      </c>
      <c r="C22">
        <v>1</v>
      </c>
      <c r="D22">
        <v>3</v>
      </c>
      <c r="E22">
        <f t="shared" si="0"/>
        <v>3</v>
      </c>
    </row>
    <row r="23" spans="1:5" x14ac:dyDescent="0.25">
      <c r="A23" t="s">
        <v>60</v>
      </c>
      <c r="B23">
        <v>0.40745062842553181</v>
      </c>
      <c r="C23">
        <v>2</v>
      </c>
      <c r="D23">
        <v>1</v>
      </c>
      <c r="E23">
        <f t="shared" si="0"/>
        <v>2</v>
      </c>
    </row>
    <row r="24" spans="1:5" x14ac:dyDescent="0.25">
      <c r="A24" t="s">
        <v>82</v>
      </c>
      <c r="B24">
        <v>0.50238643860938692</v>
      </c>
      <c r="C24">
        <v>0.5</v>
      </c>
      <c r="D24">
        <v>3</v>
      </c>
      <c r="E24">
        <f t="shared" si="0"/>
        <v>1.5</v>
      </c>
    </row>
    <row r="25" spans="1:5" x14ac:dyDescent="0.25">
      <c r="A25" t="s">
        <v>65</v>
      </c>
      <c r="B25">
        <v>0.41093303904883238</v>
      </c>
      <c r="C25">
        <v>0.5</v>
      </c>
      <c r="D25">
        <v>3</v>
      </c>
      <c r="E25">
        <f t="shared" si="0"/>
        <v>1.5</v>
      </c>
    </row>
    <row r="26" spans="1:5" x14ac:dyDescent="0.25">
      <c r="A26" t="s">
        <v>64</v>
      </c>
      <c r="B26">
        <v>0.26316338667570122</v>
      </c>
      <c r="C26">
        <v>0.5</v>
      </c>
      <c r="D26">
        <v>3</v>
      </c>
      <c r="E26">
        <f t="shared" si="0"/>
        <v>1.5</v>
      </c>
    </row>
  </sheetData>
  <sortState ref="A1:E26">
    <sortCondition descending="1" ref="E1:E26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1"/>
  <sheetViews>
    <sheetView workbookViewId="0">
      <selection activeCell="C30" sqref="C30"/>
    </sheetView>
  </sheetViews>
  <sheetFormatPr defaultRowHeight="15" x14ac:dyDescent="0.25"/>
  <cols>
    <col min="1" max="1" width="32.28515625" bestFit="1" customWidth="1"/>
    <col min="2" max="2" width="12.5703125" hidden="1" customWidth="1"/>
    <col min="3" max="3" width="28.7109375" customWidth="1"/>
    <col min="4" max="4" width="12.28515625" customWidth="1"/>
    <col min="5" max="5" width="11" customWidth="1"/>
    <col min="8" max="8" width="30.7109375" hidden="1" customWidth="1"/>
  </cols>
  <sheetData>
    <row r="1" spans="1:8" x14ac:dyDescent="0.25">
      <c r="A1" s="113" t="s">
        <v>0</v>
      </c>
      <c r="B1" s="114" t="s">
        <v>1</v>
      </c>
      <c r="C1" s="114" t="s">
        <v>102</v>
      </c>
      <c r="D1" s="114" t="s">
        <v>97</v>
      </c>
      <c r="E1" s="115" t="s">
        <v>98</v>
      </c>
      <c r="H1" t="s">
        <v>99</v>
      </c>
    </row>
    <row r="2" spans="1:8" x14ac:dyDescent="0.25">
      <c r="A2" s="69" t="str">
        <f>'survey priority'!A2</f>
        <v>NPAM</v>
      </c>
      <c r="B2" s="70">
        <v>0.64915026671183973</v>
      </c>
      <c r="C2" s="70" t="s">
        <v>99</v>
      </c>
      <c r="D2" s="70"/>
      <c r="E2" s="85"/>
      <c r="H2" t="s">
        <v>101</v>
      </c>
    </row>
    <row r="3" spans="1:8" x14ac:dyDescent="0.25">
      <c r="A3" s="69" t="str">
        <f>'survey priority'!A3</f>
        <v>Remnant Prairie Inventory</v>
      </c>
      <c r="B3" s="70">
        <v>0.61300729569318346</v>
      </c>
      <c r="C3" s="70" t="s">
        <v>100</v>
      </c>
      <c r="D3" s="70"/>
      <c r="E3" s="85"/>
      <c r="H3" t="s">
        <v>100</v>
      </c>
    </row>
    <row r="4" spans="1:8" x14ac:dyDescent="0.25">
      <c r="A4" s="69" t="str">
        <f>'survey priority'!A4</f>
        <v>Thistle Study</v>
      </c>
      <c r="B4" s="70">
        <v>0.57668402918805617</v>
      </c>
      <c r="C4" s="70" t="s">
        <v>100</v>
      </c>
      <c r="D4" s="70"/>
      <c r="E4" s="85"/>
    </row>
    <row r="5" spans="1:8" x14ac:dyDescent="0.25">
      <c r="A5" s="69" t="str">
        <f>'survey priority'!A5</f>
        <v>GMT</v>
      </c>
      <c r="B5" s="70">
        <v>0.56329527315426631</v>
      </c>
      <c r="C5" s="70"/>
      <c r="D5" s="70"/>
      <c r="E5" s="85"/>
    </row>
    <row r="6" spans="1:8" x14ac:dyDescent="0.25">
      <c r="A6" s="69" t="str">
        <f>'survey priority'!A6</f>
        <v>Sediment</v>
      </c>
      <c r="B6" s="70">
        <v>0.55687133836707758</v>
      </c>
      <c r="C6" s="70"/>
      <c r="D6" s="70"/>
      <c r="E6" s="85"/>
    </row>
    <row r="7" spans="1:8" x14ac:dyDescent="0.25">
      <c r="A7" s="69" t="str">
        <f>'survey priority'!A7</f>
        <v>Prairie Reconstruction</v>
      </c>
      <c r="B7" s="70">
        <v>0.54366287781975875</v>
      </c>
      <c r="C7" s="70"/>
      <c r="D7" s="70"/>
      <c r="E7" s="85"/>
    </row>
    <row r="8" spans="1:8" x14ac:dyDescent="0.25">
      <c r="A8" s="69" t="str">
        <f>'survey priority'!A8</f>
        <v>Prairie Butterflies</v>
      </c>
      <c r="B8" s="70">
        <v>0.54348258233328772</v>
      </c>
      <c r="C8" s="70"/>
      <c r="D8" s="70"/>
      <c r="E8" s="85"/>
    </row>
    <row r="9" spans="1:8" x14ac:dyDescent="0.25">
      <c r="A9" s="69" t="str">
        <f>'survey priority'!A9</f>
        <v>Wetland Condition Assessment</v>
      </c>
      <c r="B9" s="70">
        <v>0.53705864754609922</v>
      </c>
      <c r="C9" s="70"/>
      <c r="D9" s="70"/>
      <c r="E9" s="85"/>
    </row>
    <row r="10" spans="1:8" x14ac:dyDescent="0.25">
      <c r="A10" s="69" t="str">
        <f>'survey priority'!A10</f>
        <v>Grassland Bird Inventory</v>
      </c>
      <c r="B10" s="70">
        <v>0.51376354610182007</v>
      </c>
      <c r="C10" s="70"/>
      <c r="D10" s="70"/>
      <c r="E10" s="85"/>
    </row>
    <row r="11" spans="1:8" x14ac:dyDescent="0.25">
      <c r="A11" s="69" t="str">
        <f>'survey priority'!A11</f>
        <v>Invasive Species</v>
      </c>
      <c r="B11" s="70">
        <v>0.50238643860938692</v>
      </c>
      <c r="C11" s="70"/>
      <c r="D11" s="70"/>
      <c r="E11" s="85"/>
    </row>
    <row r="12" spans="1:8" x14ac:dyDescent="0.25">
      <c r="A12" s="69" t="str">
        <f>'survey priority'!A12</f>
        <v>FSM</v>
      </c>
      <c r="B12" s="70">
        <v>0.50091567652744295</v>
      </c>
      <c r="C12" s="70"/>
      <c r="D12" s="70"/>
      <c r="E12" s="85"/>
    </row>
    <row r="13" spans="1:8" x14ac:dyDescent="0.25">
      <c r="A13" s="69" t="str">
        <f>'survey priority'!A13</f>
        <v>Grazing Rapid Assessment</v>
      </c>
      <c r="B13" s="70">
        <v>0.44129730857803662</v>
      </c>
      <c r="C13" s="70"/>
      <c r="D13" s="70"/>
      <c r="E13" s="85"/>
    </row>
    <row r="14" spans="1:8" x14ac:dyDescent="0.25">
      <c r="A14" s="69" t="str">
        <f>'survey priority'!A14</f>
        <v>Wetland Veg Monitoring</v>
      </c>
      <c r="B14" s="70">
        <v>0.43551860708858464</v>
      </c>
      <c r="C14" s="70"/>
      <c r="D14" s="70"/>
      <c r="E14" s="85"/>
    </row>
    <row r="15" spans="1:8" x14ac:dyDescent="0.25">
      <c r="A15" s="69" t="str">
        <f>'survey priority'!A15</f>
        <v>Glacial Lake Overspray</v>
      </c>
      <c r="B15" s="70">
        <v>0.41175856783303982</v>
      </c>
      <c r="C15" s="70"/>
      <c r="D15" s="70"/>
      <c r="E15" s="85"/>
    </row>
    <row r="16" spans="1:8" x14ac:dyDescent="0.25">
      <c r="A16" s="69" t="str">
        <f>'survey priority'!A16</f>
        <v>Wetland Resources Long-Term</v>
      </c>
      <c r="B16" s="70">
        <v>0.41093303904883238</v>
      </c>
      <c r="C16" s="70"/>
      <c r="D16" s="70"/>
      <c r="E16" s="85"/>
    </row>
    <row r="17" spans="1:5" x14ac:dyDescent="0.25">
      <c r="A17" s="69" t="str">
        <f>'survey priority'!A17</f>
        <v>Contaminants and Wetland Inverts</v>
      </c>
      <c r="B17" s="70">
        <v>0.40845645269621006</v>
      </c>
      <c r="C17" s="70"/>
      <c r="D17" s="70"/>
      <c r="E17" s="85"/>
    </row>
    <row r="18" spans="1:5" x14ac:dyDescent="0.25">
      <c r="A18" s="69" t="str">
        <f>'survey priority'!A18</f>
        <v>Wild Rice</v>
      </c>
      <c r="B18" s="70">
        <v>0.40745062842553181</v>
      </c>
      <c r="C18" s="70"/>
      <c r="D18" s="70"/>
      <c r="E18" s="85"/>
    </row>
    <row r="19" spans="1:5" x14ac:dyDescent="0.25">
      <c r="A19" s="69" t="str">
        <f>'survey priority'!A19</f>
        <v>IWMM</v>
      </c>
      <c r="B19" s="70">
        <v>0.40185222242255064</v>
      </c>
      <c r="C19" s="70"/>
      <c r="D19" s="70"/>
      <c r="E19" s="85"/>
    </row>
    <row r="20" spans="1:5" x14ac:dyDescent="0.25">
      <c r="A20" s="69" t="str">
        <f>'survey priority'!A20</f>
        <v>BBS</v>
      </c>
      <c r="B20" s="70">
        <v>0.39212617249853221</v>
      </c>
      <c r="C20" s="70"/>
      <c r="D20" s="70"/>
      <c r="E20" s="85"/>
    </row>
    <row r="21" spans="1:5" x14ac:dyDescent="0.25">
      <c r="A21" s="69" t="str">
        <f>'survey priority'!A21</f>
        <v>Colonial Waterbirds</v>
      </c>
      <c r="B21" s="70">
        <v>0.34901838023327453</v>
      </c>
      <c r="C21" s="70"/>
      <c r="D21" s="70"/>
      <c r="E21" s="85"/>
    </row>
    <row r="22" spans="1:5" x14ac:dyDescent="0.25">
      <c r="A22" s="69" t="str">
        <f>'survey priority'!A22</f>
        <v>Darnen Water Quality</v>
      </c>
      <c r="B22" s="70">
        <v>0.3290253939258253</v>
      </c>
      <c r="C22" s="70"/>
      <c r="D22" s="70"/>
      <c r="E22" s="85"/>
    </row>
    <row r="23" spans="1:5" x14ac:dyDescent="0.25">
      <c r="A23" s="69" t="str">
        <f>'survey priority'!A23</f>
        <v>Water Levels</v>
      </c>
      <c r="B23" s="70">
        <v>0.28875477898613178</v>
      </c>
      <c r="C23" s="70"/>
      <c r="D23" s="70"/>
      <c r="E23" s="85"/>
    </row>
    <row r="24" spans="1:5" x14ac:dyDescent="0.25">
      <c r="A24" s="69" t="str">
        <f>'survey priority'!A24</f>
        <v>Nest Stuctures</v>
      </c>
      <c r="B24" s="70">
        <v>0.28609789714703859</v>
      </c>
      <c r="C24" s="70"/>
      <c r="D24" s="70"/>
      <c r="E24" s="85"/>
    </row>
    <row r="25" spans="1:5" x14ac:dyDescent="0.25">
      <c r="A25" s="69" t="str">
        <f>'survey priority'!A25</f>
        <v>Baseline Wildlife</v>
      </c>
      <c r="B25" s="70">
        <v>0.26316338667570127</v>
      </c>
      <c r="C25" s="70"/>
      <c r="D25" s="70"/>
      <c r="E25" s="85"/>
    </row>
    <row r="26" spans="1:5" x14ac:dyDescent="0.25">
      <c r="A26" s="69" t="str">
        <f>'survey priority'!A26</f>
        <v>Woodcock Survey</v>
      </c>
      <c r="B26" s="70">
        <v>0.26316338667570122</v>
      </c>
      <c r="C26" s="70"/>
      <c r="D26" s="70"/>
      <c r="E26" s="85"/>
    </row>
    <row r="27" spans="1:5" x14ac:dyDescent="0.25">
      <c r="A27" s="69" t="str">
        <f>'survey priority'!A27</f>
        <v>Relocating Prairie Chickens</v>
      </c>
      <c r="B27" s="70">
        <v>0.2499549261283823</v>
      </c>
      <c r="C27" s="70"/>
      <c r="D27" s="70"/>
      <c r="E27" s="85"/>
    </row>
    <row r="28" spans="1:5" x14ac:dyDescent="0.25">
      <c r="A28" s="69" t="str">
        <f>'survey priority'!A28</f>
        <v>NAAMP</v>
      </c>
      <c r="B28" s="91"/>
      <c r="C28" s="91"/>
      <c r="D28" s="91"/>
      <c r="E28" s="111"/>
    </row>
    <row r="29" spans="1:5" x14ac:dyDescent="0.25">
      <c r="A29" s="69" t="str">
        <f>'survey priority'!A29</f>
        <v>Dove Banding</v>
      </c>
      <c r="B29" s="91"/>
      <c r="C29" s="91"/>
      <c r="D29" s="91"/>
      <c r="E29" s="111"/>
    </row>
    <row r="30" spans="1:5" x14ac:dyDescent="0.25">
      <c r="A30" s="69" t="str">
        <f>'survey priority'!A30</f>
        <v>CBC</v>
      </c>
      <c r="B30" s="91"/>
      <c r="C30" s="91"/>
      <c r="D30" s="91"/>
      <c r="E30" s="111"/>
    </row>
    <row r="31" spans="1:5" x14ac:dyDescent="0.25">
      <c r="A31" s="69" t="e">
        <f>'survey priority'!#REF!</f>
        <v>#REF!</v>
      </c>
      <c r="B31" s="91"/>
      <c r="C31" s="91"/>
      <c r="D31" s="91"/>
      <c r="E31" s="111"/>
    </row>
    <row r="32" spans="1:5" x14ac:dyDescent="0.25">
      <c r="A32" s="69" t="e">
        <f>'survey priority'!#REF!</f>
        <v>#REF!</v>
      </c>
      <c r="B32" s="91"/>
      <c r="C32" s="91"/>
      <c r="D32" s="91"/>
      <c r="E32" s="111"/>
    </row>
    <row r="33" spans="1:5" x14ac:dyDescent="0.25">
      <c r="A33" s="69" t="e">
        <f>'survey priority'!#REF!</f>
        <v>#REF!</v>
      </c>
      <c r="B33" s="91"/>
      <c r="C33" s="91"/>
      <c r="D33" s="91"/>
      <c r="E33" s="111"/>
    </row>
    <row r="34" spans="1:5" x14ac:dyDescent="0.25">
      <c r="A34" s="69" t="e">
        <f>'survey priority'!#REF!</f>
        <v>#REF!</v>
      </c>
      <c r="B34" s="91"/>
      <c r="C34" s="91"/>
      <c r="D34" s="91"/>
      <c r="E34" s="111"/>
    </row>
    <row r="35" spans="1:5" x14ac:dyDescent="0.25">
      <c r="A35" s="69" t="e">
        <f>'survey priority'!#REF!</f>
        <v>#REF!</v>
      </c>
      <c r="B35" s="91"/>
      <c r="C35" s="91"/>
      <c r="D35" s="91"/>
      <c r="E35" s="111"/>
    </row>
    <row r="36" spans="1:5" x14ac:dyDescent="0.25">
      <c r="A36" s="69" t="e">
        <f>'survey priority'!#REF!</f>
        <v>#REF!</v>
      </c>
      <c r="B36" s="91"/>
      <c r="C36" s="91"/>
      <c r="D36" s="91"/>
      <c r="E36" s="111"/>
    </row>
    <row r="37" spans="1:5" x14ac:dyDescent="0.25">
      <c r="A37" s="69" t="e">
        <f>'survey priority'!#REF!</f>
        <v>#REF!</v>
      </c>
      <c r="B37" s="91"/>
      <c r="C37" s="91"/>
      <c r="D37" s="91"/>
      <c r="E37" s="111"/>
    </row>
    <row r="38" spans="1:5" x14ac:dyDescent="0.25">
      <c r="A38" s="69" t="e">
        <f>'survey priority'!#REF!</f>
        <v>#REF!</v>
      </c>
      <c r="B38" s="91"/>
      <c r="C38" s="91"/>
      <c r="D38" s="91"/>
      <c r="E38" s="111"/>
    </row>
    <row r="39" spans="1:5" x14ac:dyDescent="0.25">
      <c r="A39" s="69" t="e">
        <f>'survey priority'!#REF!</f>
        <v>#REF!</v>
      </c>
      <c r="B39" s="91"/>
      <c r="C39" s="91"/>
      <c r="D39" s="91"/>
      <c r="E39" s="111"/>
    </row>
    <row r="40" spans="1:5" x14ac:dyDescent="0.25">
      <c r="A40" s="69" t="e">
        <f>'survey priority'!#REF!</f>
        <v>#REF!</v>
      </c>
      <c r="B40" s="91"/>
      <c r="C40" s="91"/>
      <c r="D40" s="91"/>
      <c r="E40" s="111"/>
    </row>
    <row r="41" spans="1:5" x14ac:dyDescent="0.25">
      <c r="A41" s="69" t="e">
        <f>'survey priority'!#REF!</f>
        <v>#REF!</v>
      </c>
      <c r="B41" s="91"/>
      <c r="C41" s="91"/>
      <c r="D41" s="91"/>
      <c r="E41" s="111"/>
    </row>
    <row r="42" spans="1:5" x14ac:dyDescent="0.25">
      <c r="A42" s="69" t="e">
        <f>'survey priority'!#REF!</f>
        <v>#REF!</v>
      </c>
      <c r="B42" s="91"/>
      <c r="C42" s="91"/>
      <c r="D42" s="91"/>
      <c r="E42" s="111"/>
    </row>
    <row r="43" spans="1:5" x14ac:dyDescent="0.25">
      <c r="A43" s="69" t="e">
        <f>'survey priority'!#REF!</f>
        <v>#REF!</v>
      </c>
      <c r="B43" s="91"/>
      <c r="C43" s="91"/>
      <c r="D43" s="91"/>
      <c r="E43" s="111"/>
    </row>
    <row r="44" spans="1:5" x14ac:dyDescent="0.25">
      <c r="A44" s="69" t="e">
        <f>'survey priority'!#REF!</f>
        <v>#REF!</v>
      </c>
      <c r="B44" s="91"/>
      <c r="C44" s="91"/>
      <c r="D44" s="91"/>
      <c r="E44" s="111"/>
    </row>
    <row r="45" spans="1:5" x14ac:dyDescent="0.25">
      <c r="A45" s="69" t="e">
        <f>'survey priority'!#REF!</f>
        <v>#REF!</v>
      </c>
      <c r="B45" s="91"/>
      <c r="C45" s="91"/>
      <c r="D45" s="91"/>
      <c r="E45" s="111"/>
    </row>
    <row r="46" spans="1:5" x14ac:dyDescent="0.25">
      <c r="A46" s="69" t="e">
        <f>'survey priority'!#REF!</f>
        <v>#REF!</v>
      </c>
      <c r="B46" s="91"/>
      <c r="C46" s="91"/>
      <c r="D46" s="91"/>
      <c r="E46" s="111"/>
    </row>
    <row r="47" spans="1:5" x14ac:dyDescent="0.25">
      <c r="A47" s="69" t="e">
        <f>'survey priority'!#REF!</f>
        <v>#REF!</v>
      </c>
      <c r="B47" s="91"/>
      <c r="C47" s="91"/>
      <c r="D47" s="91"/>
      <c r="E47" s="111"/>
    </row>
    <row r="48" spans="1:5" x14ac:dyDescent="0.25">
      <c r="A48" s="69" t="e">
        <f>'survey priority'!#REF!</f>
        <v>#REF!</v>
      </c>
      <c r="B48" s="91"/>
      <c r="C48" s="91"/>
      <c r="D48" s="91"/>
      <c r="E48" s="111"/>
    </row>
    <row r="49" spans="1:5" x14ac:dyDescent="0.25">
      <c r="A49" s="69" t="e">
        <f>'survey priority'!#REF!</f>
        <v>#REF!</v>
      </c>
      <c r="B49" s="91"/>
      <c r="C49" s="91"/>
      <c r="D49" s="91"/>
      <c r="E49" s="111"/>
    </row>
    <row r="50" spans="1:5" x14ac:dyDescent="0.25">
      <c r="A50" s="69" t="e">
        <f>'survey priority'!#REF!</f>
        <v>#REF!</v>
      </c>
      <c r="B50" s="91"/>
      <c r="C50" s="91"/>
      <c r="D50" s="91"/>
      <c r="E50" s="111"/>
    </row>
    <row r="51" spans="1:5" x14ac:dyDescent="0.25">
      <c r="A51" s="71" t="e">
        <f>'survey priority'!#REF!</f>
        <v>#REF!</v>
      </c>
      <c r="B51" s="94"/>
      <c r="C51" s="94"/>
      <c r="D51" s="94"/>
      <c r="E51" s="112"/>
    </row>
  </sheetData>
  <dataValidations count="1">
    <dataValidation type="list" allowBlank="1" showInputMessage="1" showErrorMessage="1" sqref="C2:C27">
      <formula1>$H$1:$H$3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33"/>
  <sheetViews>
    <sheetView workbookViewId="0">
      <selection activeCell="L34" sqref="L34"/>
    </sheetView>
  </sheetViews>
  <sheetFormatPr defaultRowHeight="15" x14ac:dyDescent="0.25"/>
  <cols>
    <col min="4" max="4" width="32.28515625" bestFit="1" customWidth="1"/>
  </cols>
  <sheetData>
    <row r="4" spans="4:8" x14ac:dyDescent="0.25">
      <c r="D4" s="134" t="s">
        <v>0</v>
      </c>
      <c r="E4" s="134" t="s">
        <v>175</v>
      </c>
      <c r="F4" s="134" t="s">
        <v>1</v>
      </c>
    </row>
    <row r="5" spans="4:8" x14ac:dyDescent="0.25">
      <c r="D5" s="135" t="s">
        <v>105</v>
      </c>
      <c r="E5" s="135">
        <v>1</v>
      </c>
      <c r="F5" s="124">
        <v>0.82718405428329089</v>
      </c>
      <c r="G5" s="37">
        <v>4.5999999999999996</v>
      </c>
      <c r="H5" s="38">
        <v>15</v>
      </c>
    </row>
    <row r="6" spans="4:8" x14ac:dyDescent="0.25">
      <c r="D6" s="135" t="s">
        <v>106</v>
      </c>
      <c r="E6" s="135">
        <v>2</v>
      </c>
      <c r="F6" s="124">
        <v>0.79537743850720932</v>
      </c>
      <c r="G6" s="37">
        <v>4.7</v>
      </c>
      <c r="H6" s="38">
        <v>8</v>
      </c>
    </row>
    <row r="7" spans="4:8" x14ac:dyDescent="0.25">
      <c r="D7" s="136" t="s">
        <v>108</v>
      </c>
      <c r="E7" s="136">
        <v>3</v>
      </c>
      <c r="F7" s="124">
        <v>0.78477523324851561</v>
      </c>
      <c r="G7" s="37">
        <v>4.4000000000000004</v>
      </c>
      <c r="H7" s="38">
        <v>15</v>
      </c>
    </row>
    <row r="8" spans="4:8" x14ac:dyDescent="0.25">
      <c r="D8" s="137" t="s">
        <v>107</v>
      </c>
      <c r="E8" s="137">
        <v>4</v>
      </c>
      <c r="F8" s="124">
        <v>0.75932994062765058</v>
      </c>
      <c r="G8" s="37">
        <v>2.4</v>
      </c>
      <c r="H8" s="38">
        <v>1</v>
      </c>
    </row>
    <row r="9" spans="4:8" x14ac:dyDescent="0.25">
      <c r="D9" s="137" t="s">
        <v>114</v>
      </c>
      <c r="E9" s="137">
        <v>5</v>
      </c>
      <c r="F9" s="124">
        <v>0.70631891433418148</v>
      </c>
      <c r="G9" s="37">
        <v>9</v>
      </c>
      <c r="H9" s="38">
        <v>15</v>
      </c>
    </row>
    <row r="10" spans="4:8" x14ac:dyDescent="0.25">
      <c r="D10" s="137" t="s">
        <v>110</v>
      </c>
      <c r="E10" s="137">
        <v>6</v>
      </c>
      <c r="F10" s="124">
        <v>0.70419847328244278</v>
      </c>
      <c r="G10" s="37">
        <v>3</v>
      </c>
      <c r="H10" s="38">
        <v>15</v>
      </c>
    </row>
    <row r="11" spans="4:8" x14ac:dyDescent="0.25">
      <c r="D11" s="137" t="s">
        <v>112</v>
      </c>
      <c r="E11" s="137">
        <v>7</v>
      </c>
      <c r="F11" s="124">
        <v>0.69783715012722636</v>
      </c>
      <c r="G11" s="37">
        <v>6.6</v>
      </c>
      <c r="H11" s="38">
        <v>8</v>
      </c>
    </row>
    <row r="12" spans="4:8" x14ac:dyDescent="0.25">
      <c r="D12" s="137" t="s">
        <v>109</v>
      </c>
      <c r="E12" s="137">
        <v>8</v>
      </c>
      <c r="F12" s="124">
        <v>0.67981340118744693</v>
      </c>
      <c r="G12" s="37">
        <v>1.3</v>
      </c>
      <c r="H12" s="38">
        <v>15</v>
      </c>
    </row>
    <row r="13" spans="4:8" x14ac:dyDescent="0.25">
      <c r="D13" s="137" t="s">
        <v>111</v>
      </c>
      <c r="E13" s="137">
        <v>9</v>
      </c>
      <c r="F13" s="124">
        <v>0.67196776929601343</v>
      </c>
      <c r="G13" s="37">
        <v>1.2</v>
      </c>
      <c r="H13" s="38">
        <v>3</v>
      </c>
    </row>
    <row r="14" spans="4:8" x14ac:dyDescent="0.25">
      <c r="D14" s="137" t="s">
        <v>115</v>
      </c>
      <c r="E14" s="137">
        <v>10</v>
      </c>
      <c r="F14" s="124">
        <v>0.67027141645462263</v>
      </c>
      <c r="G14" s="37">
        <v>7</v>
      </c>
      <c r="H14" s="38">
        <v>15</v>
      </c>
    </row>
    <row r="15" spans="4:8" x14ac:dyDescent="0.25">
      <c r="D15" s="137" t="s">
        <v>116</v>
      </c>
      <c r="E15" s="137">
        <v>11</v>
      </c>
      <c r="F15" s="124">
        <v>0.64164546225614927</v>
      </c>
      <c r="G15" s="37">
        <v>4</v>
      </c>
      <c r="H15" s="38">
        <v>15</v>
      </c>
    </row>
    <row r="16" spans="4:8" x14ac:dyDescent="0.25">
      <c r="D16" s="137" t="s">
        <v>113</v>
      </c>
      <c r="E16" s="137">
        <v>12</v>
      </c>
      <c r="F16" s="124">
        <v>0.63846480067854128</v>
      </c>
      <c r="G16" s="37">
        <v>0.2</v>
      </c>
      <c r="H16" s="38">
        <v>1</v>
      </c>
    </row>
    <row r="17" spans="4:8" x14ac:dyDescent="0.25">
      <c r="D17" s="137" t="s">
        <v>117</v>
      </c>
      <c r="E17" s="137">
        <v>13</v>
      </c>
      <c r="F17" s="124">
        <v>0.60665818490245971</v>
      </c>
      <c r="G17" s="37">
        <v>2.4</v>
      </c>
      <c r="H17" s="38">
        <v>2</v>
      </c>
    </row>
    <row r="18" spans="4:8" x14ac:dyDescent="0.25">
      <c r="D18" s="137" t="s">
        <v>119</v>
      </c>
      <c r="E18" s="137">
        <v>14</v>
      </c>
      <c r="F18" s="124">
        <v>0.57273112807463944</v>
      </c>
      <c r="G18" s="37">
        <v>5.7</v>
      </c>
      <c r="H18" s="38">
        <v>15</v>
      </c>
    </row>
    <row r="19" spans="4:8" x14ac:dyDescent="0.25">
      <c r="D19" s="137" t="s">
        <v>120</v>
      </c>
      <c r="E19" s="137">
        <v>15</v>
      </c>
      <c r="F19" s="124">
        <v>0.56721798134011892</v>
      </c>
      <c r="G19" s="37">
        <v>4.5999999999999996</v>
      </c>
      <c r="H19" s="38">
        <v>2</v>
      </c>
    </row>
    <row r="20" spans="4:8" x14ac:dyDescent="0.25">
      <c r="D20" s="137" t="s">
        <v>118</v>
      </c>
      <c r="E20" s="137">
        <v>16</v>
      </c>
      <c r="F20" s="124">
        <v>0.56318914334181513</v>
      </c>
      <c r="G20" s="37">
        <v>3.1</v>
      </c>
      <c r="H20" s="38">
        <v>1</v>
      </c>
    </row>
    <row r="21" spans="4:8" x14ac:dyDescent="0.25">
      <c r="D21" s="137" t="s">
        <v>121</v>
      </c>
      <c r="E21" s="137">
        <v>17</v>
      </c>
      <c r="F21" s="124">
        <v>0.55046649703138262</v>
      </c>
      <c r="G21" s="37">
        <v>2.5</v>
      </c>
      <c r="H21" s="38">
        <v>15</v>
      </c>
    </row>
    <row r="22" spans="4:8" x14ac:dyDescent="0.25">
      <c r="D22" s="137" t="s">
        <v>122</v>
      </c>
      <c r="E22" s="137">
        <v>18</v>
      </c>
      <c r="F22" s="124">
        <v>0.54728583545377441</v>
      </c>
      <c r="G22" s="37">
        <v>13.2</v>
      </c>
      <c r="H22" s="38">
        <v>15</v>
      </c>
    </row>
    <row r="23" spans="4:8" x14ac:dyDescent="0.25">
      <c r="D23" s="137" t="s">
        <v>128</v>
      </c>
      <c r="E23" s="137">
        <v>19</v>
      </c>
      <c r="F23" s="124">
        <v>0.45631891433418148</v>
      </c>
      <c r="G23" s="37">
        <v>6</v>
      </c>
      <c r="H23" s="38">
        <v>5</v>
      </c>
    </row>
    <row r="24" spans="4:8" x14ac:dyDescent="0.25">
      <c r="D24" s="137" t="s">
        <v>126</v>
      </c>
      <c r="E24" s="137">
        <v>20</v>
      </c>
      <c r="F24" s="124">
        <v>0.4550466497031383</v>
      </c>
      <c r="G24" s="37">
        <v>5</v>
      </c>
      <c r="H24" s="38">
        <v>15</v>
      </c>
    </row>
    <row r="25" spans="4:8" x14ac:dyDescent="0.25">
      <c r="D25" s="137" t="s">
        <v>124</v>
      </c>
      <c r="E25" s="137">
        <v>21</v>
      </c>
      <c r="F25" s="124">
        <v>0.44550466497031388</v>
      </c>
      <c r="G25" s="37">
        <v>2.5</v>
      </c>
      <c r="H25" s="38">
        <v>3</v>
      </c>
    </row>
    <row r="26" spans="4:8" x14ac:dyDescent="0.25">
      <c r="D26" s="137" t="s">
        <v>123</v>
      </c>
      <c r="E26" s="137">
        <v>22</v>
      </c>
      <c r="F26" s="124">
        <v>0.43702290076335876</v>
      </c>
      <c r="G26" s="37">
        <v>0.9</v>
      </c>
      <c r="H26" s="38">
        <v>15</v>
      </c>
    </row>
    <row r="27" spans="4:8" x14ac:dyDescent="0.25">
      <c r="D27" s="137" t="s">
        <v>127</v>
      </c>
      <c r="E27" s="137">
        <v>23</v>
      </c>
      <c r="F27" s="124">
        <v>0.43235793044953358</v>
      </c>
      <c r="G27" s="37">
        <v>3.5</v>
      </c>
      <c r="H27" s="38">
        <v>15</v>
      </c>
    </row>
    <row r="28" spans="4:8" x14ac:dyDescent="0.25">
      <c r="D28" s="137" t="s">
        <v>125</v>
      </c>
      <c r="E28" s="137">
        <v>24</v>
      </c>
      <c r="F28" s="124">
        <v>0.39567430025445299</v>
      </c>
      <c r="G28" s="37">
        <v>1.2</v>
      </c>
      <c r="H28" s="38">
        <v>3</v>
      </c>
    </row>
    <row r="29" spans="4:8" x14ac:dyDescent="0.25">
      <c r="D29" s="137" t="s">
        <v>130</v>
      </c>
      <c r="E29" s="137">
        <v>25</v>
      </c>
      <c r="F29" s="124">
        <v>0.32782018659881257</v>
      </c>
      <c r="G29" s="37">
        <v>2</v>
      </c>
      <c r="H29" s="38">
        <v>2</v>
      </c>
    </row>
    <row r="30" spans="4:8" x14ac:dyDescent="0.25">
      <c r="D30" s="137" t="s">
        <v>129</v>
      </c>
      <c r="E30" s="137">
        <v>26</v>
      </c>
      <c r="F30" s="124">
        <v>0.30131467345207807</v>
      </c>
      <c r="G30" s="37">
        <v>0.6</v>
      </c>
      <c r="H30" s="38">
        <v>15</v>
      </c>
    </row>
    <row r="31" spans="4:8" x14ac:dyDescent="0.25">
      <c r="D31" s="137" t="s">
        <v>131</v>
      </c>
      <c r="E31" s="137">
        <v>27</v>
      </c>
      <c r="F31" s="124">
        <v>0.29283290924512306</v>
      </c>
      <c r="G31" s="37">
        <v>0.9</v>
      </c>
      <c r="H31" s="38">
        <v>15</v>
      </c>
    </row>
    <row r="32" spans="4:8" x14ac:dyDescent="0.25">
      <c r="D32" s="137" t="s">
        <v>132</v>
      </c>
      <c r="E32" s="137">
        <v>28</v>
      </c>
      <c r="F32" s="124">
        <v>0.27798982188295174</v>
      </c>
      <c r="G32" s="37">
        <v>2.7</v>
      </c>
      <c r="H32" s="38">
        <v>15</v>
      </c>
    </row>
    <row r="33" spans="4:8" x14ac:dyDescent="0.25">
      <c r="D33" s="137" t="s">
        <v>133</v>
      </c>
      <c r="E33" s="137">
        <v>29</v>
      </c>
      <c r="F33" s="124">
        <v>0.19953350296861752</v>
      </c>
      <c r="G33" s="37">
        <v>1</v>
      </c>
      <c r="H33" s="38">
        <v>15</v>
      </c>
    </row>
  </sheetData>
  <dataValidations count="1">
    <dataValidation type="whole" allowBlank="1" showInputMessage="1" showErrorMessage="1" sqref="H5:H33">
      <formula1>1</formula1>
      <formula2>15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</vt:vector>
  </HeadingPairs>
  <TitlesOfParts>
    <vt:vector size="10" baseType="lpstr">
      <vt:lpstr>annual time budget</vt:lpstr>
      <vt:lpstr>survey priority</vt:lpstr>
      <vt:lpstr>survey return</vt:lpstr>
      <vt:lpstr>Survey Time</vt:lpstr>
      <vt:lpstr>table</vt:lpstr>
      <vt:lpstr>portfolio builder</vt:lpstr>
      <vt:lpstr>Sheet2</vt:lpstr>
      <vt:lpstr>selection status</vt:lpstr>
      <vt:lpstr>Sheet1</vt:lpstr>
      <vt:lpstr>Efficient frontier chart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Loges, Brian</dc:creator>
  <cp:lastModifiedBy>Jennifer Herner-Thogmartin</cp:lastModifiedBy>
  <cp:lastPrinted>2014-12-04T21:59:56Z</cp:lastPrinted>
  <dcterms:created xsi:type="dcterms:W3CDTF">2014-04-22T18:44:49Z</dcterms:created>
  <dcterms:modified xsi:type="dcterms:W3CDTF">2016-10-20T15:33:33Z</dcterms:modified>
</cp:coreProperties>
</file>